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Documents\Carlos Portela\ILV\"/>
    </mc:Choice>
  </mc:AlternateContent>
  <xr:revisionPtr revIDLastSave="0" documentId="13_ncr:1_{799DB198-01F4-4199-B36D-BE9ACBB4A7C0}" xr6:coauthVersionLast="45" xr6:coauthVersionMax="45" xr10:uidLastSave="{00000000-0000-0000-0000-000000000000}"/>
  <bookViews>
    <workbookView xWindow="30" yWindow="30" windowWidth="20460" windowHeight="11490" tabRatio="599" xr2:uid="{00000000-000D-0000-FFFF-FFFF00000000}"/>
  </bookViews>
  <sheets>
    <sheet name="Ruta" sheetId="1" r:id="rId1"/>
    <sheet name="Resumen" sheetId="2" r:id="rId2"/>
    <sheet name="Promociones" sheetId="5" r:id="rId3"/>
    <sheet name="Hoja1" sheetId="4" state="hidden" r:id="rId4"/>
    <sheet name="Encuesta" sheetId="3" state="hidden" r:id="rId5"/>
  </sheets>
  <definedNames>
    <definedName name="_xlnm._FilterDatabase" localSheetId="4" hidden="1">Encuesta!$A$1:$J$85</definedName>
    <definedName name="_xlnm._FilterDatabase" localSheetId="3" hidden="1">Hoja1!$J$4:$K$87</definedName>
    <definedName name="_xlnm._FilterDatabase" localSheetId="2" hidden="1">Promociones!$B$1:$S$170</definedName>
    <definedName name="_xlnm._FilterDatabase" localSheetId="0" hidden="1">Ruta!$B$3:$X$184</definedName>
  </definedNames>
  <calcPr calcId="18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2" l="1"/>
  <c r="V17" i="2"/>
  <c r="V16" i="2"/>
  <c r="V15" i="2"/>
  <c r="V14" i="2"/>
  <c r="V24" i="2" s="1"/>
  <c r="V13" i="2"/>
  <c r="V12" i="2"/>
  <c r="V10" i="2"/>
  <c r="V9" i="2"/>
  <c r="V8" i="2"/>
  <c r="V7" i="2"/>
  <c r="V6" i="2"/>
  <c r="V5" i="2"/>
  <c r="V22" i="2" l="1"/>
  <c r="V21" i="2"/>
  <c r="V23" i="2"/>
  <c r="V25" i="2" s="1"/>
  <c r="V18" i="2"/>
  <c r="U11" i="2"/>
  <c r="U17" i="2"/>
  <c r="U16" i="2"/>
  <c r="U15" i="2"/>
  <c r="U14" i="2"/>
  <c r="U24" i="2" s="1"/>
  <c r="U13" i="2"/>
  <c r="U12" i="2"/>
  <c r="U10" i="2"/>
  <c r="U9" i="2"/>
  <c r="U8" i="2"/>
  <c r="U7" i="2"/>
  <c r="U6" i="2"/>
  <c r="U5" i="2"/>
  <c r="U23" i="2" l="1"/>
  <c r="U21" i="2"/>
  <c r="U22" i="2"/>
  <c r="U18" i="2"/>
  <c r="T14" i="2"/>
  <c r="T24" i="2" s="1"/>
  <c r="U25" i="2" l="1"/>
  <c r="T17" i="2"/>
  <c r="T16" i="2"/>
  <c r="T15" i="2"/>
  <c r="T13" i="2"/>
  <c r="T12" i="2"/>
  <c r="T11" i="2"/>
  <c r="T10" i="2"/>
  <c r="T9" i="2"/>
  <c r="T8" i="2"/>
  <c r="T7" i="2"/>
  <c r="T6" i="2"/>
  <c r="T5" i="2"/>
  <c r="T21" i="2" l="1"/>
  <c r="T23" i="2"/>
  <c r="T22" i="2"/>
  <c r="T18" i="2"/>
  <c r="T25" i="2" l="1"/>
  <c r="S17" i="2"/>
  <c r="S16" i="2"/>
  <c r="S15" i="2"/>
  <c r="S14" i="2"/>
  <c r="S24" i="2" s="1"/>
  <c r="S13" i="2"/>
  <c r="S12" i="2"/>
  <c r="S11" i="2"/>
  <c r="S10" i="2"/>
  <c r="S9" i="2"/>
  <c r="S8" i="2"/>
  <c r="S7" i="2"/>
  <c r="S6" i="2"/>
  <c r="S5" i="2"/>
  <c r="S23" i="2" l="1"/>
  <c r="S22" i="2"/>
  <c r="S21" i="2"/>
  <c r="S18" i="2"/>
  <c r="S25" i="2" l="1"/>
  <c r="R17" i="2"/>
  <c r="R16" i="2"/>
  <c r="R15" i="2"/>
  <c r="R14" i="2"/>
  <c r="R24" i="2" s="1"/>
  <c r="R13" i="2"/>
  <c r="R12" i="2"/>
  <c r="R11" i="2"/>
  <c r="R10" i="2"/>
  <c r="R9" i="2"/>
  <c r="R8" i="2"/>
  <c r="R7" i="2"/>
  <c r="R6" i="2"/>
  <c r="R5" i="2"/>
  <c r="R23" i="2" l="1"/>
  <c r="R21" i="2"/>
  <c r="R18" i="2"/>
  <c r="R22" i="2"/>
  <c r="R25" i="2" l="1"/>
  <c r="Q17" i="2" l="1"/>
  <c r="Q16" i="2"/>
  <c r="Q15" i="2"/>
  <c r="Q14" i="2"/>
  <c r="Q24" i="2" s="1"/>
  <c r="Q13" i="2"/>
  <c r="Q12" i="2"/>
  <c r="Q11" i="2"/>
  <c r="Q10" i="2"/>
  <c r="Q9" i="2"/>
  <c r="Q8" i="2"/>
  <c r="Q7" i="2"/>
  <c r="Q6" i="2"/>
  <c r="Q5" i="2"/>
  <c r="Q23" i="2" l="1"/>
  <c r="Q22" i="2"/>
  <c r="Q21" i="2"/>
  <c r="Q18" i="2"/>
  <c r="P12" i="2"/>
  <c r="Q25" i="2" l="1"/>
  <c r="P9" i="2"/>
  <c r="P17" i="2"/>
  <c r="P16" i="2"/>
  <c r="P15" i="2"/>
  <c r="P14" i="2"/>
  <c r="P24" i="2" s="1"/>
  <c r="P13" i="2"/>
  <c r="P11" i="2"/>
  <c r="P10" i="2"/>
  <c r="P8" i="2"/>
  <c r="P7" i="2"/>
  <c r="P6" i="2"/>
  <c r="P5" i="2"/>
  <c r="P23" i="2" l="1"/>
  <c r="P21" i="2"/>
  <c r="P22" i="2"/>
  <c r="P18" i="2"/>
  <c r="P25" i="2" l="1"/>
  <c r="W139" i="5" l="1"/>
  <c r="O17" i="2" l="1"/>
  <c r="O16" i="2"/>
  <c r="O15" i="2"/>
  <c r="O14" i="2"/>
  <c r="O24" i="2" s="1"/>
  <c r="O13" i="2"/>
  <c r="O12" i="2"/>
  <c r="O11" i="2"/>
  <c r="O10" i="2"/>
  <c r="O9" i="2"/>
  <c r="O8" i="2"/>
  <c r="O7" i="2"/>
  <c r="O6" i="2"/>
  <c r="O5" i="2"/>
  <c r="O22" i="2" l="1"/>
  <c r="O23" i="2"/>
  <c r="O21" i="2"/>
  <c r="O18" i="2"/>
  <c r="O25" i="2" l="1"/>
  <c r="V163" i="5"/>
  <c r="V162" i="5"/>
  <c r="V161" i="5"/>
  <c r="V148" i="5"/>
  <c r="V140" i="5"/>
  <c r="V138" i="5"/>
  <c r="V136" i="5"/>
  <c r="V128" i="5"/>
  <c r="V126" i="5"/>
  <c r="V125" i="5"/>
  <c r="V124" i="5"/>
  <c r="V123" i="5"/>
  <c r="V122" i="5"/>
  <c r="V82" i="5"/>
  <c r="V63" i="5"/>
  <c r="V36" i="5"/>
  <c r="W36" i="5" s="1"/>
  <c r="V32" i="5"/>
  <c r="V30" i="5"/>
  <c r="V28" i="5"/>
  <c r="W28" i="5" s="1"/>
  <c r="V25" i="5"/>
  <c r="W25" i="5" s="1"/>
  <c r="V24" i="5"/>
  <c r="W24" i="5" s="1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6" i="5"/>
  <c r="U4" i="5" l="1"/>
  <c r="U5" i="5"/>
  <c r="K169" i="5"/>
  <c r="J169" i="5"/>
  <c r="I169" i="5"/>
  <c r="H169" i="5"/>
  <c r="G169" i="5"/>
  <c r="F169" i="5"/>
  <c r="E169" i="5"/>
  <c r="D169" i="5"/>
  <c r="C169" i="5"/>
  <c r="B169" i="5"/>
  <c r="K168" i="5"/>
  <c r="J168" i="5"/>
  <c r="I168" i="5"/>
  <c r="H168" i="5"/>
  <c r="G168" i="5"/>
  <c r="F168" i="5"/>
  <c r="E168" i="5"/>
  <c r="D168" i="5"/>
  <c r="B168" i="5"/>
  <c r="K167" i="5"/>
  <c r="J167" i="5"/>
  <c r="I167" i="5"/>
  <c r="H167" i="5"/>
  <c r="G167" i="5"/>
  <c r="F167" i="5"/>
  <c r="E167" i="5"/>
  <c r="D167" i="5"/>
  <c r="B167" i="5"/>
  <c r="K166" i="5"/>
  <c r="J166" i="5"/>
  <c r="I166" i="5"/>
  <c r="H166" i="5"/>
  <c r="G166" i="5"/>
  <c r="F166" i="5"/>
  <c r="E166" i="5"/>
  <c r="D166" i="5"/>
  <c r="B166" i="5"/>
  <c r="K165" i="5"/>
  <c r="J165" i="5"/>
  <c r="I165" i="5"/>
  <c r="H165" i="5"/>
  <c r="G165" i="5"/>
  <c r="F165" i="5"/>
  <c r="E165" i="5"/>
  <c r="D165" i="5"/>
  <c r="B165" i="5"/>
  <c r="K164" i="5"/>
  <c r="J164" i="5"/>
  <c r="I164" i="5"/>
  <c r="H164" i="5"/>
  <c r="G164" i="5"/>
  <c r="F164" i="5"/>
  <c r="E164" i="5"/>
  <c r="D164" i="5"/>
  <c r="B164" i="5"/>
  <c r="K163" i="5"/>
  <c r="J163" i="5"/>
  <c r="I163" i="5"/>
  <c r="H163" i="5"/>
  <c r="G163" i="5"/>
  <c r="F163" i="5"/>
  <c r="E163" i="5"/>
  <c r="D163" i="5"/>
  <c r="B163" i="5"/>
  <c r="K162" i="5"/>
  <c r="J162" i="5"/>
  <c r="I162" i="5"/>
  <c r="H162" i="5"/>
  <c r="G162" i="5"/>
  <c r="F162" i="5"/>
  <c r="E162" i="5"/>
  <c r="D162" i="5"/>
  <c r="B162" i="5"/>
  <c r="K161" i="5"/>
  <c r="J161" i="5"/>
  <c r="I161" i="5"/>
  <c r="H161" i="5"/>
  <c r="G161" i="5"/>
  <c r="F161" i="5"/>
  <c r="E161" i="5"/>
  <c r="D161" i="5"/>
  <c r="B161" i="5"/>
  <c r="K160" i="5"/>
  <c r="J160" i="5"/>
  <c r="I160" i="5"/>
  <c r="H160" i="5"/>
  <c r="G160" i="5"/>
  <c r="F160" i="5"/>
  <c r="E160" i="5"/>
  <c r="D160" i="5"/>
  <c r="B160" i="5"/>
  <c r="K159" i="5"/>
  <c r="J159" i="5"/>
  <c r="I159" i="5"/>
  <c r="H159" i="5"/>
  <c r="G159" i="5"/>
  <c r="F159" i="5"/>
  <c r="E159" i="5"/>
  <c r="D159" i="5"/>
  <c r="B159" i="5"/>
  <c r="K158" i="5"/>
  <c r="J158" i="5"/>
  <c r="I158" i="5"/>
  <c r="H158" i="5"/>
  <c r="G158" i="5"/>
  <c r="F158" i="5"/>
  <c r="E158" i="5"/>
  <c r="D158" i="5"/>
  <c r="B158" i="5"/>
  <c r="K157" i="5"/>
  <c r="J157" i="5"/>
  <c r="I157" i="5"/>
  <c r="H157" i="5"/>
  <c r="G157" i="5"/>
  <c r="F157" i="5"/>
  <c r="E157" i="5"/>
  <c r="D157" i="5"/>
  <c r="B157" i="5"/>
  <c r="K156" i="5"/>
  <c r="J156" i="5"/>
  <c r="I156" i="5"/>
  <c r="H156" i="5"/>
  <c r="G156" i="5"/>
  <c r="F156" i="5"/>
  <c r="E156" i="5"/>
  <c r="D156" i="5"/>
  <c r="B156" i="5"/>
  <c r="K155" i="5"/>
  <c r="J155" i="5"/>
  <c r="I155" i="5"/>
  <c r="H155" i="5"/>
  <c r="G155" i="5"/>
  <c r="F155" i="5"/>
  <c r="E155" i="5"/>
  <c r="D155" i="5"/>
  <c r="B155" i="5"/>
  <c r="K154" i="5"/>
  <c r="J154" i="5"/>
  <c r="I154" i="5"/>
  <c r="H154" i="5"/>
  <c r="G154" i="5"/>
  <c r="F154" i="5"/>
  <c r="E154" i="5"/>
  <c r="D154" i="5"/>
  <c r="B154" i="5"/>
  <c r="K153" i="5"/>
  <c r="J153" i="5"/>
  <c r="I153" i="5"/>
  <c r="H153" i="5"/>
  <c r="G153" i="5"/>
  <c r="F153" i="5"/>
  <c r="E153" i="5"/>
  <c r="D153" i="5"/>
  <c r="B153" i="5"/>
  <c r="K152" i="5"/>
  <c r="J152" i="5"/>
  <c r="I152" i="5"/>
  <c r="H152" i="5"/>
  <c r="G152" i="5"/>
  <c r="F152" i="5"/>
  <c r="E152" i="5"/>
  <c r="D152" i="5"/>
  <c r="B152" i="5"/>
  <c r="K151" i="5"/>
  <c r="J151" i="5"/>
  <c r="I151" i="5"/>
  <c r="H151" i="5"/>
  <c r="G151" i="5"/>
  <c r="F151" i="5"/>
  <c r="E151" i="5"/>
  <c r="D151" i="5"/>
  <c r="B151" i="5"/>
  <c r="K150" i="5"/>
  <c r="J150" i="5"/>
  <c r="I150" i="5"/>
  <c r="H150" i="5"/>
  <c r="G150" i="5"/>
  <c r="F150" i="5"/>
  <c r="E150" i="5"/>
  <c r="D150" i="5"/>
  <c r="B150" i="5"/>
  <c r="K149" i="5"/>
  <c r="J149" i="5"/>
  <c r="I149" i="5"/>
  <c r="H149" i="5"/>
  <c r="G149" i="5"/>
  <c r="F149" i="5"/>
  <c r="E149" i="5"/>
  <c r="D149" i="5"/>
  <c r="B149" i="5"/>
  <c r="K148" i="5"/>
  <c r="J148" i="5"/>
  <c r="I148" i="5"/>
  <c r="H148" i="5"/>
  <c r="G148" i="5"/>
  <c r="F148" i="5"/>
  <c r="E148" i="5"/>
  <c r="D148" i="5"/>
  <c r="B148" i="5"/>
  <c r="K147" i="5"/>
  <c r="J147" i="5"/>
  <c r="I147" i="5"/>
  <c r="H147" i="5"/>
  <c r="G147" i="5"/>
  <c r="F147" i="5"/>
  <c r="E147" i="5"/>
  <c r="D147" i="5"/>
  <c r="B147" i="5"/>
  <c r="K146" i="5"/>
  <c r="J146" i="5"/>
  <c r="I146" i="5"/>
  <c r="H146" i="5"/>
  <c r="G146" i="5"/>
  <c r="F146" i="5"/>
  <c r="E146" i="5"/>
  <c r="D146" i="5"/>
  <c r="B146" i="5"/>
  <c r="K145" i="5"/>
  <c r="J145" i="5"/>
  <c r="I145" i="5"/>
  <c r="H145" i="5"/>
  <c r="G145" i="5"/>
  <c r="F145" i="5"/>
  <c r="E145" i="5"/>
  <c r="D145" i="5"/>
  <c r="B145" i="5"/>
  <c r="K144" i="5"/>
  <c r="J144" i="5"/>
  <c r="I144" i="5"/>
  <c r="H144" i="5"/>
  <c r="G144" i="5"/>
  <c r="F144" i="5"/>
  <c r="E144" i="5"/>
  <c r="D144" i="5"/>
  <c r="B144" i="5"/>
  <c r="K143" i="5"/>
  <c r="J143" i="5"/>
  <c r="I143" i="5"/>
  <c r="H143" i="5"/>
  <c r="G143" i="5"/>
  <c r="F143" i="5"/>
  <c r="E143" i="5"/>
  <c r="D143" i="5"/>
  <c r="B143" i="5"/>
  <c r="K142" i="5"/>
  <c r="J142" i="5"/>
  <c r="I142" i="5"/>
  <c r="H142" i="5"/>
  <c r="G142" i="5"/>
  <c r="F142" i="5"/>
  <c r="E142" i="5"/>
  <c r="D142" i="5"/>
  <c r="B142" i="5"/>
  <c r="K141" i="5"/>
  <c r="J141" i="5"/>
  <c r="I141" i="5"/>
  <c r="H141" i="5"/>
  <c r="G141" i="5"/>
  <c r="F141" i="5"/>
  <c r="E141" i="5"/>
  <c r="D141" i="5"/>
  <c r="B141" i="5"/>
  <c r="K140" i="5"/>
  <c r="J140" i="5"/>
  <c r="I140" i="5"/>
  <c r="H140" i="5"/>
  <c r="G140" i="5"/>
  <c r="F140" i="5"/>
  <c r="E140" i="5"/>
  <c r="D140" i="5"/>
  <c r="B140" i="5"/>
  <c r="K139" i="5"/>
  <c r="J139" i="5"/>
  <c r="I139" i="5"/>
  <c r="H139" i="5"/>
  <c r="G139" i="5"/>
  <c r="F139" i="5"/>
  <c r="E139" i="5"/>
  <c r="D139" i="5"/>
  <c r="B139" i="5"/>
  <c r="K138" i="5"/>
  <c r="J138" i="5"/>
  <c r="I138" i="5"/>
  <c r="H138" i="5"/>
  <c r="G138" i="5"/>
  <c r="F138" i="5"/>
  <c r="E138" i="5"/>
  <c r="D138" i="5"/>
  <c r="B138" i="5"/>
  <c r="K137" i="5"/>
  <c r="J137" i="5"/>
  <c r="I137" i="5"/>
  <c r="H137" i="5"/>
  <c r="G137" i="5"/>
  <c r="F137" i="5"/>
  <c r="E137" i="5"/>
  <c r="D137" i="5"/>
  <c r="B137" i="5"/>
  <c r="K136" i="5"/>
  <c r="J136" i="5"/>
  <c r="I136" i="5"/>
  <c r="H136" i="5"/>
  <c r="G136" i="5"/>
  <c r="F136" i="5"/>
  <c r="E136" i="5"/>
  <c r="D136" i="5"/>
  <c r="B136" i="5"/>
  <c r="K135" i="5"/>
  <c r="J135" i="5"/>
  <c r="I135" i="5"/>
  <c r="H135" i="5"/>
  <c r="G135" i="5"/>
  <c r="F135" i="5"/>
  <c r="E135" i="5"/>
  <c r="D135" i="5"/>
  <c r="B135" i="5"/>
  <c r="K134" i="5"/>
  <c r="J134" i="5"/>
  <c r="I134" i="5"/>
  <c r="H134" i="5"/>
  <c r="G134" i="5"/>
  <c r="F134" i="5"/>
  <c r="E134" i="5"/>
  <c r="D134" i="5"/>
  <c r="B134" i="5"/>
  <c r="K133" i="5"/>
  <c r="J133" i="5"/>
  <c r="I133" i="5"/>
  <c r="H133" i="5"/>
  <c r="G133" i="5"/>
  <c r="F133" i="5"/>
  <c r="E133" i="5"/>
  <c r="D133" i="5"/>
  <c r="B133" i="5"/>
  <c r="K132" i="5"/>
  <c r="J132" i="5"/>
  <c r="I132" i="5"/>
  <c r="H132" i="5"/>
  <c r="G132" i="5"/>
  <c r="F132" i="5"/>
  <c r="E132" i="5"/>
  <c r="D132" i="5"/>
  <c r="B132" i="5"/>
  <c r="K131" i="5"/>
  <c r="J131" i="5"/>
  <c r="I131" i="5"/>
  <c r="H131" i="5"/>
  <c r="G131" i="5"/>
  <c r="F131" i="5"/>
  <c r="E131" i="5"/>
  <c r="D131" i="5"/>
  <c r="B131" i="5"/>
  <c r="K130" i="5"/>
  <c r="J130" i="5"/>
  <c r="I130" i="5"/>
  <c r="H130" i="5"/>
  <c r="G130" i="5"/>
  <c r="F130" i="5"/>
  <c r="E130" i="5"/>
  <c r="D130" i="5"/>
  <c r="B130" i="5"/>
  <c r="K129" i="5"/>
  <c r="J129" i="5"/>
  <c r="I129" i="5"/>
  <c r="H129" i="5"/>
  <c r="G129" i="5"/>
  <c r="F129" i="5"/>
  <c r="E129" i="5"/>
  <c r="D129" i="5"/>
  <c r="B129" i="5"/>
  <c r="K128" i="5"/>
  <c r="J128" i="5"/>
  <c r="I128" i="5"/>
  <c r="H128" i="5"/>
  <c r="G128" i="5"/>
  <c r="F128" i="5"/>
  <c r="E128" i="5"/>
  <c r="D128" i="5"/>
  <c r="B128" i="5"/>
  <c r="K127" i="5"/>
  <c r="J127" i="5"/>
  <c r="I127" i="5"/>
  <c r="H127" i="5"/>
  <c r="G127" i="5"/>
  <c r="F127" i="5"/>
  <c r="E127" i="5"/>
  <c r="D127" i="5"/>
  <c r="B127" i="5"/>
  <c r="K126" i="5"/>
  <c r="J126" i="5"/>
  <c r="I126" i="5"/>
  <c r="H126" i="5"/>
  <c r="G126" i="5"/>
  <c r="F126" i="5"/>
  <c r="E126" i="5"/>
  <c r="D126" i="5"/>
  <c r="B126" i="5"/>
  <c r="K125" i="5"/>
  <c r="J125" i="5"/>
  <c r="I125" i="5"/>
  <c r="H125" i="5"/>
  <c r="G125" i="5"/>
  <c r="F125" i="5"/>
  <c r="E125" i="5"/>
  <c r="D125" i="5"/>
  <c r="B125" i="5"/>
  <c r="K124" i="5"/>
  <c r="J124" i="5"/>
  <c r="I124" i="5"/>
  <c r="H124" i="5"/>
  <c r="G124" i="5"/>
  <c r="F124" i="5"/>
  <c r="E124" i="5"/>
  <c r="D124" i="5"/>
  <c r="B124" i="5"/>
  <c r="K123" i="5"/>
  <c r="J123" i="5"/>
  <c r="I123" i="5"/>
  <c r="H123" i="5"/>
  <c r="G123" i="5"/>
  <c r="F123" i="5"/>
  <c r="E123" i="5"/>
  <c r="D123" i="5"/>
  <c r="B123" i="5"/>
  <c r="K122" i="5"/>
  <c r="J122" i="5"/>
  <c r="I122" i="5"/>
  <c r="H122" i="5"/>
  <c r="G122" i="5"/>
  <c r="F122" i="5"/>
  <c r="E122" i="5"/>
  <c r="D122" i="5"/>
  <c r="B122" i="5"/>
  <c r="K121" i="5"/>
  <c r="J121" i="5"/>
  <c r="I121" i="5"/>
  <c r="H121" i="5"/>
  <c r="G121" i="5"/>
  <c r="F121" i="5"/>
  <c r="E121" i="5"/>
  <c r="D121" i="5"/>
  <c r="B121" i="5"/>
  <c r="K120" i="5"/>
  <c r="J120" i="5"/>
  <c r="I120" i="5"/>
  <c r="H120" i="5"/>
  <c r="G120" i="5"/>
  <c r="F120" i="5"/>
  <c r="E120" i="5"/>
  <c r="D120" i="5"/>
  <c r="B120" i="5"/>
  <c r="K119" i="5"/>
  <c r="J119" i="5"/>
  <c r="I119" i="5"/>
  <c r="H119" i="5"/>
  <c r="G119" i="5"/>
  <c r="F119" i="5"/>
  <c r="E119" i="5"/>
  <c r="D119" i="5"/>
  <c r="B119" i="5"/>
  <c r="K118" i="5"/>
  <c r="J118" i="5"/>
  <c r="I118" i="5"/>
  <c r="H118" i="5"/>
  <c r="G118" i="5"/>
  <c r="F118" i="5"/>
  <c r="E118" i="5"/>
  <c r="D118" i="5"/>
  <c r="B118" i="5"/>
  <c r="K117" i="5"/>
  <c r="J117" i="5"/>
  <c r="I117" i="5"/>
  <c r="H117" i="5"/>
  <c r="G117" i="5"/>
  <c r="F117" i="5"/>
  <c r="E117" i="5"/>
  <c r="D117" i="5"/>
  <c r="B117" i="5"/>
  <c r="K116" i="5"/>
  <c r="J116" i="5"/>
  <c r="I116" i="5"/>
  <c r="H116" i="5"/>
  <c r="G116" i="5"/>
  <c r="F116" i="5"/>
  <c r="E116" i="5"/>
  <c r="D116" i="5"/>
  <c r="B116" i="5"/>
  <c r="K115" i="5"/>
  <c r="J115" i="5"/>
  <c r="I115" i="5"/>
  <c r="H115" i="5"/>
  <c r="G115" i="5"/>
  <c r="F115" i="5"/>
  <c r="E115" i="5"/>
  <c r="D115" i="5"/>
  <c r="B115" i="5"/>
  <c r="K114" i="5"/>
  <c r="J114" i="5"/>
  <c r="I114" i="5"/>
  <c r="H114" i="5"/>
  <c r="G114" i="5"/>
  <c r="F114" i="5"/>
  <c r="E114" i="5"/>
  <c r="D114" i="5"/>
  <c r="B114" i="5"/>
  <c r="K113" i="5"/>
  <c r="J113" i="5"/>
  <c r="I113" i="5"/>
  <c r="H113" i="5"/>
  <c r="G113" i="5"/>
  <c r="F113" i="5"/>
  <c r="E113" i="5"/>
  <c r="D113" i="5"/>
  <c r="B113" i="5"/>
  <c r="K112" i="5"/>
  <c r="J112" i="5"/>
  <c r="I112" i="5"/>
  <c r="H112" i="5"/>
  <c r="G112" i="5"/>
  <c r="F112" i="5"/>
  <c r="E112" i="5"/>
  <c r="D112" i="5"/>
  <c r="B112" i="5"/>
  <c r="K111" i="5"/>
  <c r="J111" i="5"/>
  <c r="I111" i="5"/>
  <c r="H111" i="5"/>
  <c r="G111" i="5"/>
  <c r="F111" i="5"/>
  <c r="E111" i="5"/>
  <c r="D111" i="5"/>
  <c r="B111" i="5"/>
  <c r="K110" i="5"/>
  <c r="J110" i="5"/>
  <c r="I110" i="5"/>
  <c r="H110" i="5"/>
  <c r="G110" i="5"/>
  <c r="F110" i="5"/>
  <c r="E110" i="5"/>
  <c r="D110" i="5"/>
  <c r="B110" i="5"/>
  <c r="K109" i="5"/>
  <c r="J109" i="5"/>
  <c r="I109" i="5"/>
  <c r="H109" i="5"/>
  <c r="G109" i="5"/>
  <c r="F109" i="5"/>
  <c r="E109" i="5"/>
  <c r="D109" i="5"/>
  <c r="B109" i="5"/>
  <c r="K108" i="5"/>
  <c r="J108" i="5"/>
  <c r="I108" i="5"/>
  <c r="H108" i="5"/>
  <c r="G108" i="5"/>
  <c r="F108" i="5"/>
  <c r="E108" i="5"/>
  <c r="D108" i="5"/>
  <c r="B108" i="5"/>
  <c r="K107" i="5"/>
  <c r="J107" i="5"/>
  <c r="I107" i="5"/>
  <c r="H107" i="5"/>
  <c r="G107" i="5"/>
  <c r="F107" i="5"/>
  <c r="E107" i="5"/>
  <c r="D107" i="5"/>
  <c r="B107" i="5"/>
  <c r="K106" i="5"/>
  <c r="J106" i="5"/>
  <c r="I106" i="5"/>
  <c r="H106" i="5"/>
  <c r="G106" i="5"/>
  <c r="F106" i="5"/>
  <c r="E106" i="5"/>
  <c r="D106" i="5"/>
  <c r="B106" i="5"/>
  <c r="K105" i="5"/>
  <c r="J105" i="5"/>
  <c r="I105" i="5"/>
  <c r="H105" i="5"/>
  <c r="G105" i="5"/>
  <c r="F105" i="5"/>
  <c r="E105" i="5"/>
  <c r="D105" i="5"/>
  <c r="B105" i="5"/>
  <c r="K104" i="5"/>
  <c r="J104" i="5"/>
  <c r="I104" i="5"/>
  <c r="H104" i="5"/>
  <c r="G104" i="5"/>
  <c r="F104" i="5"/>
  <c r="E104" i="5"/>
  <c r="D104" i="5"/>
  <c r="B104" i="5"/>
  <c r="K103" i="5"/>
  <c r="J103" i="5"/>
  <c r="I103" i="5"/>
  <c r="H103" i="5"/>
  <c r="G103" i="5"/>
  <c r="F103" i="5"/>
  <c r="E103" i="5"/>
  <c r="D103" i="5"/>
  <c r="B103" i="5"/>
  <c r="K102" i="5"/>
  <c r="J102" i="5"/>
  <c r="I102" i="5"/>
  <c r="H102" i="5"/>
  <c r="G102" i="5"/>
  <c r="F102" i="5"/>
  <c r="E102" i="5"/>
  <c r="D102" i="5"/>
  <c r="B102" i="5"/>
  <c r="K101" i="5"/>
  <c r="J101" i="5"/>
  <c r="I101" i="5"/>
  <c r="H101" i="5"/>
  <c r="G101" i="5"/>
  <c r="F101" i="5"/>
  <c r="E101" i="5"/>
  <c r="D101" i="5"/>
  <c r="B101" i="5"/>
  <c r="K100" i="5"/>
  <c r="J100" i="5"/>
  <c r="I100" i="5"/>
  <c r="H100" i="5"/>
  <c r="G100" i="5"/>
  <c r="F100" i="5"/>
  <c r="E100" i="5"/>
  <c r="D100" i="5"/>
  <c r="B100" i="5"/>
  <c r="K99" i="5"/>
  <c r="J99" i="5"/>
  <c r="I99" i="5"/>
  <c r="H99" i="5"/>
  <c r="G99" i="5"/>
  <c r="F99" i="5"/>
  <c r="E99" i="5"/>
  <c r="D99" i="5"/>
  <c r="B99" i="5"/>
  <c r="K98" i="5"/>
  <c r="J98" i="5"/>
  <c r="I98" i="5"/>
  <c r="H98" i="5"/>
  <c r="G98" i="5"/>
  <c r="F98" i="5"/>
  <c r="E98" i="5"/>
  <c r="D98" i="5"/>
  <c r="B98" i="5"/>
  <c r="K97" i="5"/>
  <c r="J97" i="5"/>
  <c r="I97" i="5"/>
  <c r="H97" i="5"/>
  <c r="G97" i="5"/>
  <c r="F97" i="5"/>
  <c r="E97" i="5"/>
  <c r="D97" i="5"/>
  <c r="B97" i="5"/>
  <c r="K96" i="5"/>
  <c r="J96" i="5"/>
  <c r="I96" i="5"/>
  <c r="H96" i="5"/>
  <c r="G96" i="5"/>
  <c r="F96" i="5"/>
  <c r="E96" i="5"/>
  <c r="D96" i="5"/>
  <c r="B96" i="5"/>
  <c r="K95" i="5"/>
  <c r="J95" i="5"/>
  <c r="I95" i="5"/>
  <c r="H95" i="5"/>
  <c r="G95" i="5"/>
  <c r="F95" i="5"/>
  <c r="E95" i="5"/>
  <c r="D95" i="5"/>
  <c r="B95" i="5"/>
  <c r="K94" i="5"/>
  <c r="J94" i="5"/>
  <c r="I94" i="5"/>
  <c r="H94" i="5"/>
  <c r="G94" i="5"/>
  <c r="F94" i="5"/>
  <c r="E94" i="5"/>
  <c r="D94" i="5"/>
  <c r="B94" i="5"/>
  <c r="K93" i="5"/>
  <c r="J93" i="5"/>
  <c r="I93" i="5"/>
  <c r="H93" i="5"/>
  <c r="G93" i="5"/>
  <c r="F93" i="5"/>
  <c r="E93" i="5"/>
  <c r="D93" i="5"/>
  <c r="B93" i="5"/>
  <c r="K92" i="5"/>
  <c r="J92" i="5"/>
  <c r="I92" i="5"/>
  <c r="H92" i="5"/>
  <c r="G92" i="5"/>
  <c r="F92" i="5"/>
  <c r="E92" i="5"/>
  <c r="D92" i="5"/>
  <c r="B92" i="5"/>
  <c r="K91" i="5"/>
  <c r="J91" i="5"/>
  <c r="I91" i="5"/>
  <c r="H91" i="5"/>
  <c r="G91" i="5"/>
  <c r="F91" i="5"/>
  <c r="E91" i="5"/>
  <c r="D91" i="5"/>
  <c r="B91" i="5"/>
  <c r="K90" i="5"/>
  <c r="J90" i="5"/>
  <c r="I90" i="5"/>
  <c r="H90" i="5"/>
  <c r="G90" i="5"/>
  <c r="F90" i="5"/>
  <c r="E90" i="5"/>
  <c r="D90" i="5"/>
  <c r="B90" i="5"/>
  <c r="K89" i="5"/>
  <c r="J89" i="5"/>
  <c r="I89" i="5"/>
  <c r="H89" i="5"/>
  <c r="G89" i="5"/>
  <c r="F89" i="5"/>
  <c r="E89" i="5"/>
  <c r="D89" i="5"/>
  <c r="B89" i="5"/>
  <c r="K88" i="5"/>
  <c r="J88" i="5"/>
  <c r="I88" i="5"/>
  <c r="H88" i="5"/>
  <c r="G88" i="5"/>
  <c r="F88" i="5"/>
  <c r="E88" i="5"/>
  <c r="D88" i="5"/>
  <c r="B88" i="5"/>
  <c r="K87" i="5"/>
  <c r="J87" i="5"/>
  <c r="I87" i="5"/>
  <c r="H87" i="5"/>
  <c r="G87" i="5"/>
  <c r="F87" i="5"/>
  <c r="E87" i="5"/>
  <c r="D87" i="5"/>
  <c r="B87" i="5"/>
  <c r="K86" i="5"/>
  <c r="J86" i="5"/>
  <c r="I86" i="5"/>
  <c r="H86" i="5"/>
  <c r="G86" i="5"/>
  <c r="F86" i="5"/>
  <c r="E86" i="5"/>
  <c r="D86" i="5"/>
  <c r="B86" i="5"/>
  <c r="K85" i="5"/>
  <c r="J85" i="5"/>
  <c r="I85" i="5"/>
  <c r="H85" i="5"/>
  <c r="G85" i="5"/>
  <c r="F85" i="5"/>
  <c r="E85" i="5"/>
  <c r="D85" i="5"/>
  <c r="B85" i="5"/>
  <c r="K84" i="5"/>
  <c r="J84" i="5"/>
  <c r="I84" i="5"/>
  <c r="H84" i="5"/>
  <c r="G84" i="5"/>
  <c r="F84" i="5"/>
  <c r="E84" i="5"/>
  <c r="D84" i="5"/>
  <c r="B84" i="5"/>
  <c r="K83" i="5"/>
  <c r="J83" i="5"/>
  <c r="I83" i="5"/>
  <c r="H83" i="5"/>
  <c r="G83" i="5"/>
  <c r="F83" i="5"/>
  <c r="E83" i="5"/>
  <c r="D83" i="5"/>
  <c r="B83" i="5"/>
  <c r="K82" i="5"/>
  <c r="J82" i="5"/>
  <c r="I82" i="5"/>
  <c r="H82" i="5"/>
  <c r="G82" i="5"/>
  <c r="F82" i="5"/>
  <c r="E82" i="5"/>
  <c r="D82" i="5"/>
  <c r="B82" i="5"/>
  <c r="K81" i="5"/>
  <c r="J81" i="5"/>
  <c r="I81" i="5"/>
  <c r="H81" i="5"/>
  <c r="G81" i="5"/>
  <c r="F81" i="5"/>
  <c r="E81" i="5"/>
  <c r="D81" i="5"/>
  <c r="B81" i="5"/>
  <c r="K80" i="5"/>
  <c r="J80" i="5"/>
  <c r="I80" i="5"/>
  <c r="H80" i="5"/>
  <c r="G80" i="5"/>
  <c r="F80" i="5"/>
  <c r="E80" i="5"/>
  <c r="D80" i="5"/>
  <c r="B80" i="5"/>
  <c r="K79" i="5"/>
  <c r="J79" i="5"/>
  <c r="I79" i="5"/>
  <c r="H79" i="5"/>
  <c r="G79" i="5"/>
  <c r="F79" i="5"/>
  <c r="E79" i="5"/>
  <c r="D79" i="5"/>
  <c r="B79" i="5"/>
  <c r="K78" i="5"/>
  <c r="J78" i="5"/>
  <c r="I78" i="5"/>
  <c r="H78" i="5"/>
  <c r="G78" i="5"/>
  <c r="F78" i="5"/>
  <c r="E78" i="5"/>
  <c r="D78" i="5"/>
  <c r="B78" i="5"/>
  <c r="K77" i="5"/>
  <c r="J77" i="5"/>
  <c r="I77" i="5"/>
  <c r="H77" i="5"/>
  <c r="G77" i="5"/>
  <c r="F77" i="5"/>
  <c r="E77" i="5"/>
  <c r="D77" i="5"/>
  <c r="B77" i="5"/>
  <c r="K76" i="5"/>
  <c r="J76" i="5"/>
  <c r="I76" i="5"/>
  <c r="H76" i="5"/>
  <c r="G76" i="5"/>
  <c r="F76" i="5"/>
  <c r="E76" i="5"/>
  <c r="D76" i="5"/>
  <c r="B76" i="5"/>
  <c r="K75" i="5"/>
  <c r="J75" i="5"/>
  <c r="I75" i="5"/>
  <c r="H75" i="5"/>
  <c r="G75" i="5"/>
  <c r="F75" i="5"/>
  <c r="E75" i="5"/>
  <c r="D75" i="5"/>
  <c r="B75" i="5"/>
  <c r="K74" i="5"/>
  <c r="J74" i="5"/>
  <c r="I74" i="5"/>
  <c r="H74" i="5"/>
  <c r="G74" i="5"/>
  <c r="F74" i="5"/>
  <c r="E74" i="5"/>
  <c r="D74" i="5"/>
  <c r="B74" i="5"/>
  <c r="K73" i="5"/>
  <c r="J73" i="5"/>
  <c r="I73" i="5"/>
  <c r="H73" i="5"/>
  <c r="G73" i="5"/>
  <c r="F73" i="5"/>
  <c r="E73" i="5"/>
  <c r="D73" i="5"/>
  <c r="B73" i="5"/>
  <c r="K72" i="5"/>
  <c r="J72" i="5"/>
  <c r="I72" i="5"/>
  <c r="H72" i="5"/>
  <c r="G72" i="5"/>
  <c r="F72" i="5"/>
  <c r="E72" i="5"/>
  <c r="D72" i="5"/>
  <c r="B72" i="5"/>
  <c r="K71" i="5"/>
  <c r="J71" i="5"/>
  <c r="I71" i="5"/>
  <c r="H71" i="5"/>
  <c r="G71" i="5"/>
  <c r="F71" i="5"/>
  <c r="E71" i="5"/>
  <c r="D71" i="5"/>
  <c r="B71" i="5"/>
  <c r="K70" i="5"/>
  <c r="J70" i="5"/>
  <c r="I70" i="5"/>
  <c r="H70" i="5"/>
  <c r="G70" i="5"/>
  <c r="F70" i="5"/>
  <c r="E70" i="5"/>
  <c r="D70" i="5"/>
  <c r="B70" i="5"/>
  <c r="K69" i="5"/>
  <c r="J69" i="5"/>
  <c r="I69" i="5"/>
  <c r="H69" i="5"/>
  <c r="G69" i="5"/>
  <c r="F69" i="5"/>
  <c r="E69" i="5"/>
  <c r="D69" i="5"/>
  <c r="B69" i="5"/>
  <c r="K68" i="5"/>
  <c r="J68" i="5"/>
  <c r="I68" i="5"/>
  <c r="H68" i="5"/>
  <c r="G68" i="5"/>
  <c r="F68" i="5"/>
  <c r="E68" i="5"/>
  <c r="D68" i="5"/>
  <c r="B68" i="5"/>
  <c r="K67" i="5"/>
  <c r="J67" i="5"/>
  <c r="I67" i="5"/>
  <c r="H67" i="5"/>
  <c r="G67" i="5"/>
  <c r="F67" i="5"/>
  <c r="E67" i="5"/>
  <c r="D67" i="5"/>
  <c r="B67" i="5"/>
  <c r="K66" i="5"/>
  <c r="J66" i="5"/>
  <c r="I66" i="5"/>
  <c r="H66" i="5"/>
  <c r="G66" i="5"/>
  <c r="F66" i="5"/>
  <c r="E66" i="5"/>
  <c r="D66" i="5"/>
  <c r="B66" i="5"/>
  <c r="K65" i="5"/>
  <c r="J65" i="5"/>
  <c r="I65" i="5"/>
  <c r="H65" i="5"/>
  <c r="G65" i="5"/>
  <c r="F65" i="5"/>
  <c r="E65" i="5"/>
  <c r="D65" i="5"/>
  <c r="B65" i="5"/>
  <c r="K64" i="5"/>
  <c r="J64" i="5"/>
  <c r="I64" i="5"/>
  <c r="H64" i="5"/>
  <c r="G64" i="5"/>
  <c r="F64" i="5"/>
  <c r="E64" i="5"/>
  <c r="D64" i="5"/>
  <c r="B64" i="5"/>
  <c r="K63" i="5"/>
  <c r="J63" i="5"/>
  <c r="I63" i="5"/>
  <c r="H63" i="5"/>
  <c r="G63" i="5"/>
  <c r="F63" i="5"/>
  <c r="E63" i="5"/>
  <c r="D63" i="5"/>
  <c r="B63" i="5"/>
  <c r="K62" i="5"/>
  <c r="J62" i="5"/>
  <c r="I62" i="5"/>
  <c r="H62" i="5"/>
  <c r="G62" i="5"/>
  <c r="F62" i="5"/>
  <c r="E62" i="5"/>
  <c r="D62" i="5"/>
  <c r="B62" i="5"/>
  <c r="K61" i="5"/>
  <c r="J61" i="5"/>
  <c r="I61" i="5"/>
  <c r="H61" i="5"/>
  <c r="G61" i="5"/>
  <c r="F61" i="5"/>
  <c r="E61" i="5"/>
  <c r="D61" i="5"/>
  <c r="B61" i="5"/>
  <c r="K60" i="5"/>
  <c r="J60" i="5"/>
  <c r="I60" i="5"/>
  <c r="H60" i="5"/>
  <c r="G60" i="5"/>
  <c r="F60" i="5"/>
  <c r="E60" i="5"/>
  <c r="D60" i="5"/>
  <c r="B60" i="5"/>
  <c r="K59" i="5"/>
  <c r="J59" i="5"/>
  <c r="I59" i="5"/>
  <c r="H59" i="5"/>
  <c r="G59" i="5"/>
  <c r="F59" i="5"/>
  <c r="E59" i="5"/>
  <c r="D59" i="5"/>
  <c r="B59" i="5"/>
  <c r="K58" i="5"/>
  <c r="J58" i="5"/>
  <c r="I58" i="5"/>
  <c r="H58" i="5"/>
  <c r="G58" i="5"/>
  <c r="F58" i="5"/>
  <c r="E58" i="5"/>
  <c r="D58" i="5"/>
  <c r="B58" i="5"/>
  <c r="K57" i="5"/>
  <c r="J57" i="5"/>
  <c r="I57" i="5"/>
  <c r="H57" i="5"/>
  <c r="G57" i="5"/>
  <c r="F57" i="5"/>
  <c r="E57" i="5"/>
  <c r="D57" i="5"/>
  <c r="B57" i="5"/>
  <c r="K56" i="5"/>
  <c r="J56" i="5"/>
  <c r="I56" i="5"/>
  <c r="H56" i="5"/>
  <c r="G56" i="5"/>
  <c r="F56" i="5"/>
  <c r="E56" i="5"/>
  <c r="D56" i="5"/>
  <c r="B56" i="5"/>
  <c r="K55" i="5"/>
  <c r="J55" i="5"/>
  <c r="I55" i="5"/>
  <c r="H55" i="5"/>
  <c r="G55" i="5"/>
  <c r="F55" i="5"/>
  <c r="E55" i="5"/>
  <c r="D55" i="5"/>
  <c r="B55" i="5"/>
  <c r="K54" i="5"/>
  <c r="J54" i="5"/>
  <c r="I54" i="5"/>
  <c r="H54" i="5"/>
  <c r="G54" i="5"/>
  <c r="F54" i="5"/>
  <c r="E54" i="5"/>
  <c r="D54" i="5"/>
  <c r="B54" i="5"/>
  <c r="K53" i="5"/>
  <c r="J53" i="5"/>
  <c r="I53" i="5"/>
  <c r="H53" i="5"/>
  <c r="G53" i="5"/>
  <c r="F53" i="5"/>
  <c r="E53" i="5"/>
  <c r="D53" i="5"/>
  <c r="B53" i="5"/>
  <c r="K52" i="5"/>
  <c r="J52" i="5"/>
  <c r="I52" i="5"/>
  <c r="H52" i="5"/>
  <c r="G52" i="5"/>
  <c r="F52" i="5"/>
  <c r="E52" i="5"/>
  <c r="D52" i="5"/>
  <c r="B52" i="5"/>
  <c r="K51" i="5"/>
  <c r="J51" i="5"/>
  <c r="I51" i="5"/>
  <c r="H51" i="5"/>
  <c r="G51" i="5"/>
  <c r="F51" i="5"/>
  <c r="E51" i="5"/>
  <c r="D51" i="5"/>
  <c r="B51" i="5"/>
  <c r="K50" i="5"/>
  <c r="J50" i="5"/>
  <c r="I50" i="5"/>
  <c r="H50" i="5"/>
  <c r="G50" i="5"/>
  <c r="F50" i="5"/>
  <c r="E50" i="5"/>
  <c r="D50" i="5"/>
  <c r="B50" i="5"/>
  <c r="K49" i="5"/>
  <c r="J49" i="5"/>
  <c r="I49" i="5"/>
  <c r="H49" i="5"/>
  <c r="G49" i="5"/>
  <c r="F49" i="5"/>
  <c r="E49" i="5"/>
  <c r="D49" i="5"/>
  <c r="B49" i="5"/>
  <c r="K48" i="5"/>
  <c r="J48" i="5"/>
  <c r="I48" i="5"/>
  <c r="H48" i="5"/>
  <c r="G48" i="5"/>
  <c r="F48" i="5"/>
  <c r="E48" i="5"/>
  <c r="D48" i="5"/>
  <c r="B48" i="5"/>
  <c r="K47" i="5"/>
  <c r="J47" i="5"/>
  <c r="I47" i="5"/>
  <c r="H47" i="5"/>
  <c r="G47" i="5"/>
  <c r="F47" i="5"/>
  <c r="E47" i="5"/>
  <c r="D47" i="5"/>
  <c r="B47" i="5"/>
  <c r="K46" i="5"/>
  <c r="J46" i="5"/>
  <c r="I46" i="5"/>
  <c r="H46" i="5"/>
  <c r="G46" i="5"/>
  <c r="F46" i="5"/>
  <c r="E46" i="5"/>
  <c r="D46" i="5"/>
  <c r="B46" i="5"/>
  <c r="K45" i="5"/>
  <c r="J45" i="5"/>
  <c r="I45" i="5"/>
  <c r="H45" i="5"/>
  <c r="G45" i="5"/>
  <c r="F45" i="5"/>
  <c r="E45" i="5"/>
  <c r="D45" i="5"/>
  <c r="B45" i="5"/>
  <c r="K44" i="5"/>
  <c r="J44" i="5"/>
  <c r="I44" i="5"/>
  <c r="H44" i="5"/>
  <c r="G44" i="5"/>
  <c r="F44" i="5"/>
  <c r="E44" i="5"/>
  <c r="D44" i="5"/>
  <c r="B44" i="5"/>
  <c r="K43" i="5"/>
  <c r="J43" i="5"/>
  <c r="I43" i="5"/>
  <c r="H43" i="5"/>
  <c r="G43" i="5"/>
  <c r="F43" i="5"/>
  <c r="E43" i="5"/>
  <c r="D43" i="5"/>
  <c r="B43" i="5"/>
  <c r="K42" i="5"/>
  <c r="J42" i="5"/>
  <c r="I42" i="5"/>
  <c r="H42" i="5"/>
  <c r="G42" i="5"/>
  <c r="F42" i="5"/>
  <c r="E42" i="5"/>
  <c r="D42" i="5"/>
  <c r="B42" i="5"/>
  <c r="K41" i="5"/>
  <c r="J41" i="5"/>
  <c r="I41" i="5"/>
  <c r="H41" i="5"/>
  <c r="G41" i="5"/>
  <c r="F41" i="5"/>
  <c r="E41" i="5"/>
  <c r="D41" i="5"/>
  <c r="B41" i="5"/>
  <c r="K40" i="5"/>
  <c r="J40" i="5"/>
  <c r="I40" i="5"/>
  <c r="H40" i="5"/>
  <c r="G40" i="5"/>
  <c r="F40" i="5"/>
  <c r="E40" i="5"/>
  <c r="D40" i="5"/>
  <c r="B40" i="5"/>
  <c r="K39" i="5"/>
  <c r="J39" i="5"/>
  <c r="I39" i="5"/>
  <c r="H39" i="5"/>
  <c r="G39" i="5"/>
  <c r="F39" i="5"/>
  <c r="E39" i="5"/>
  <c r="D39" i="5"/>
  <c r="B39" i="5"/>
  <c r="K38" i="5"/>
  <c r="J38" i="5"/>
  <c r="I38" i="5"/>
  <c r="H38" i="5"/>
  <c r="G38" i="5"/>
  <c r="F38" i="5"/>
  <c r="E38" i="5"/>
  <c r="D38" i="5"/>
  <c r="B38" i="5"/>
  <c r="K37" i="5"/>
  <c r="J37" i="5"/>
  <c r="I37" i="5"/>
  <c r="H37" i="5"/>
  <c r="G37" i="5"/>
  <c r="F37" i="5"/>
  <c r="E37" i="5"/>
  <c r="D37" i="5"/>
  <c r="B37" i="5"/>
  <c r="K36" i="5"/>
  <c r="J36" i="5"/>
  <c r="I36" i="5"/>
  <c r="H36" i="5"/>
  <c r="G36" i="5"/>
  <c r="F36" i="5"/>
  <c r="E36" i="5"/>
  <c r="D36" i="5"/>
  <c r="B36" i="5"/>
  <c r="K35" i="5"/>
  <c r="J35" i="5"/>
  <c r="I35" i="5"/>
  <c r="H35" i="5"/>
  <c r="G35" i="5"/>
  <c r="F35" i="5"/>
  <c r="E35" i="5"/>
  <c r="D35" i="5"/>
  <c r="B35" i="5"/>
  <c r="K34" i="5"/>
  <c r="J34" i="5"/>
  <c r="I34" i="5"/>
  <c r="H34" i="5"/>
  <c r="G34" i="5"/>
  <c r="F34" i="5"/>
  <c r="E34" i="5"/>
  <c r="D34" i="5"/>
  <c r="B34" i="5"/>
  <c r="K33" i="5"/>
  <c r="J33" i="5"/>
  <c r="I33" i="5"/>
  <c r="H33" i="5"/>
  <c r="G33" i="5"/>
  <c r="F33" i="5"/>
  <c r="E33" i="5"/>
  <c r="D33" i="5"/>
  <c r="B33" i="5"/>
  <c r="K32" i="5"/>
  <c r="J32" i="5"/>
  <c r="I32" i="5"/>
  <c r="H32" i="5"/>
  <c r="G32" i="5"/>
  <c r="F32" i="5"/>
  <c r="E32" i="5"/>
  <c r="D32" i="5"/>
  <c r="B32" i="5"/>
  <c r="K31" i="5"/>
  <c r="J31" i="5"/>
  <c r="I31" i="5"/>
  <c r="H31" i="5"/>
  <c r="G31" i="5"/>
  <c r="F31" i="5"/>
  <c r="E31" i="5"/>
  <c r="D31" i="5"/>
  <c r="B31" i="5"/>
  <c r="K30" i="5"/>
  <c r="J30" i="5"/>
  <c r="I30" i="5"/>
  <c r="H30" i="5"/>
  <c r="G30" i="5"/>
  <c r="F30" i="5"/>
  <c r="E30" i="5"/>
  <c r="D30" i="5"/>
  <c r="B30" i="5"/>
  <c r="K29" i="5"/>
  <c r="J29" i="5"/>
  <c r="I29" i="5"/>
  <c r="H29" i="5"/>
  <c r="G29" i="5"/>
  <c r="F29" i="5"/>
  <c r="E29" i="5"/>
  <c r="D29" i="5"/>
  <c r="B29" i="5"/>
  <c r="K28" i="5"/>
  <c r="J28" i="5"/>
  <c r="I28" i="5"/>
  <c r="H28" i="5"/>
  <c r="G28" i="5"/>
  <c r="F28" i="5"/>
  <c r="E28" i="5"/>
  <c r="D28" i="5"/>
  <c r="B28" i="5"/>
  <c r="K27" i="5"/>
  <c r="J27" i="5"/>
  <c r="I27" i="5"/>
  <c r="H27" i="5"/>
  <c r="G27" i="5"/>
  <c r="F27" i="5"/>
  <c r="E27" i="5"/>
  <c r="D27" i="5"/>
  <c r="B27" i="5"/>
  <c r="K26" i="5"/>
  <c r="J26" i="5"/>
  <c r="I26" i="5"/>
  <c r="H26" i="5"/>
  <c r="G26" i="5"/>
  <c r="F26" i="5"/>
  <c r="E26" i="5"/>
  <c r="D26" i="5"/>
  <c r="B26" i="5"/>
  <c r="K25" i="5"/>
  <c r="J25" i="5"/>
  <c r="I25" i="5"/>
  <c r="H25" i="5"/>
  <c r="G25" i="5"/>
  <c r="F25" i="5"/>
  <c r="E25" i="5"/>
  <c r="D25" i="5"/>
  <c r="B25" i="5"/>
  <c r="K24" i="5"/>
  <c r="J24" i="5"/>
  <c r="I24" i="5"/>
  <c r="H24" i="5"/>
  <c r="G24" i="5"/>
  <c r="F24" i="5"/>
  <c r="E24" i="5"/>
  <c r="D24" i="5"/>
  <c r="B24" i="5"/>
  <c r="K23" i="5"/>
  <c r="J23" i="5"/>
  <c r="I23" i="5"/>
  <c r="H23" i="5"/>
  <c r="G23" i="5"/>
  <c r="F23" i="5"/>
  <c r="E23" i="5"/>
  <c r="D23" i="5"/>
  <c r="B23" i="5"/>
  <c r="K22" i="5"/>
  <c r="J22" i="5"/>
  <c r="I22" i="5"/>
  <c r="H22" i="5"/>
  <c r="G22" i="5"/>
  <c r="F22" i="5"/>
  <c r="E22" i="5"/>
  <c r="D22" i="5"/>
  <c r="B22" i="5"/>
  <c r="K21" i="5"/>
  <c r="J21" i="5"/>
  <c r="I21" i="5"/>
  <c r="H21" i="5"/>
  <c r="G21" i="5"/>
  <c r="F21" i="5"/>
  <c r="E21" i="5"/>
  <c r="D21" i="5"/>
  <c r="B21" i="5"/>
  <c r="K20" i="5"/>
  <c r="J20" i="5"/>
  <c r="I20" i="5"/>
  <c r="H20" i="5"/>
  <c r="G20" i="5"/>
  <c r="F20" i="5"/>
  <c r="E20" i="5"/>
  <c r="D20" i="5"/>
  <c r="B20" i="5"/>
  <c r="K19" i="5"/>
  <c r="J19" i="5"/>
  <c r="I19" i="5"/>
  <c r="H19" i="5"/>
  <c r="G19" i="5"/>
  <c r="F19" i="5"/>
  <c r="E19" i="5"/>
  <c r="D19" i="5"/>
  <c r="B19" i="5"/>
  <c r="K18" i="5"/>
  <c r="J18" i="5"/>
  <c r="I18" i="5"/>
  <c r="H18" i="5"/>
  <c r="G18" i="5"/>
  <c r="F18" i="5"/>
  <c r="E18" i="5"/>
  <c r="D18" i="5"/>
  <c r="B18" i="5"/>
  <c r="K17" i="5"/>
  <c r="J17" i="5"/>
  <c r="I17" i="5"/>
  <c r="H17" i="5"/>
  <c r="G17" i="5"/>
  <c r="F17" i="5"/>
  <c r="E17" i="5"/>
  <c r="D17" i="5"/>
  <c r="B17" i="5"/>
  <c r="K16" i="5"/>
  <c r="J16" i="5"/>
  <c r="I16" i="5"/>
  <c r="H16" i="5"/>
  <c r="G16" i="5"/>
  <c r="F16" i="5"/>
  <c r="E16" i="5"/>
  <c r="D16" i="5"/>
  <c r="B16" i="5"/>
  <c r="K15" i="5"/>
  <c r="J15" i="5"/>
  <c r="I15" i="5"/>
  <c r="H15" i="5"/>
  <c r="G15" i="5"/>
  <c r="F15" i="5"/>
  <c r="E15" i="5"/>
  <c r="D15" i="5"/>
  <c r="B15" i="5"/>
  <c r="K14" i="5"/>
  <c r="J14" i="5"/>
  <c r="I14" i="5"/>
  <c r="H14" i="5"/>
  <c r="G14" i="5"/>
  <c r="F14" i="5"/>
  <c r="E14" i="5"/>
  <c r="D14" i="5"/>
  <c r="B14" i="5"/>
  <c r="K13" i="5"/>
  <c r="J13" i="5"/>
  <c r="I13" i="5"/>
  <c r="H13" i="5"/>
  <c r="G13" i="5"/>
  <c r="F13" i="5"/>
  <c r="E13" i="5"/>
  <c r="D13" i="5"/>
  <c r="B13" i="5"/>
  <c r="K12" i="5"/>
  <c r="J12" i="5"/>
  <c r="I12" i="5"/>
  <c r="H12" i="5"/>
  <c r="G12" i="5"/>
  <c r="F12" i="5"/>
  <c r="E12" i="5"/>
  <c r="D12" i="5"/>
  <c r="B12" i="5"/>
  <c r="K11" i="5"/>
  <c r="J11" i="5"/>
  <c r="I11" i="5"/>
  <c r="H11" i="5"/>
  <c r="G11" i="5"/>
  <c r="F11" i="5"/>
  <c r="E11" i="5"/>
  <c r="D11" i="5"/>
  <c r="B11" i="5"/>
  <c r="K10" i="5"/>
  <c r="J10" i="5"/>
  <c r="I10" i="5"/>
  <c r="H10" i="5"/>
  <c r="G10" i="5"/>
  <c r="F10" i="5"/>
  <c r="E10" i="5"/>
  <c r="D10" i="5"/>
  <c r="B10" i="5"/>
  <c r="K9" i="5"/>
  <c r="J9" i="5"/>
  <c r="I9" i="5"/>
  <c r="H9" i="5"/>
  <c r="G9" i="5"/>
  <c r="F9" i="5"/>
  <c r="E9" i="5"/>
  <c r="D9" i="5"/>
  <c r="B9" i="5"/>
  <c r="K8" i="5"/>
  <c r="J8" i="5"/>
  <c r="I8" i="5"/>
  <c r="H8" i="5"/>
  <c r="G8" i="5"/>
  <c r="F8" i="5"/>
  <c r="E8" i="5"/>
  <c r="D8" i="5"/>
  <c r="B8" i="5"/>
  <c r="K7" i="5"/>
  <c r="J7" i="5"/>
  <c r="I7" i="5"/>
  <c r="H7" i="5"/>
  <c r="G7" i="5"/>
  <c r="F7" i="5"/>
  <c r="E7" i="5"/>
  <c r="D7" i="5"/>
  <c r="B7" i="5"/>
  <c r="K6" i="5"/>
  <c r="J6" i="5"/>
  <c r="I6" i="5"/>
  <c r="H6" i="5"/>
  <c r="G6" i="5"/>
  <c r="F6" i="5"/>
  <c r="E6" i="5"/>
  <c r="D6" i="5"/>
  <c r="B6" i="5"/>
  <c r="K5" i="5"/>
  <c r="J5" i="5"/>
  <c r="I5" i="5"/>
  <c r="H5" i="5"/>
  <c r="G5" i="5"/>
  <c r="F5" i="5"/>
  <c r="E5" i="5"/>
  <c r="D5" i="5"/>
  <c r="B5" i="5"/>
  <c r="K4" i="5"/>
  <c r="J4" i="5"/>
  <c r="I4" i="5"/>
  <c r="H4" i="5"/>
  <c r="G4" i="5"/>
  <c r="F4" i="5"/>
  <c r="E4" i="5"/>
  <c r="D4" i="5"/>
  <c r="C4" i="5"/>
  <c r="M4" i="5"/>
  <c r="B4" i="5"/>
  <c r="U170" i="5"/>
  <c r="S170" i="5"/>
  <c r="V170" i="5" s="1"/>
  <c r="U165" i="5"/>
  <c r="S165" i="5"/>
  <c r="V165" i="5" s="1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L165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7" i="5"/>
  <c r="U146" i="5"/>
  <c r="U145" i="5"/>
  <c r="U144" i="5"/>
  <c r="U143" i="5"/>
  <c r="U142" i="5"/>
  <c r="U141" i="5"/>
  <c r="U137" i="5"/>
  <c r="U135" i="5"/>
  <c r="U133" i="5"/>
  <c r="U132" i="5"/>
  <c r="U131" i="5"/>
  <c r="U130" i="5"/>
  <c r="U129" i="5"/>
  <c r="U121" i="5"/>
  <c r="U120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5" i="5"/>
  <c r="U34" i="5"/>
  <c r="U31" i="5"/>
  <c r="U30" i="5"/>
  <c r="U29" i="5"/>
  <c r="U27" i="5"/>
  <c r="U26" i="5"/>
  <c r="U23" i="5"/>
  <c r="U15" i="5"/>
  <c r="U13" i="5"/>
  <c r="U10" i="5"/>
  <c r="U9" i="5"/>
  <c r="U8" i="5"/>
  <c r="U7" i="5"/>
  <c r="S4" i="5"/>
  <c r="V4" i="5" s="1"/>
  <c r="N12" i="2"/>
  <c r="N17" i="2" l="1"/>
  <c r="N16" i="2"/>
  <c r="N15" i="2"/>
  <c r="N14" i="2"/>
  <c r="N24" i="2" s="1"/>
  <c r="N13" i="2"/>
  <c r="N11" i="2"/>
  <c r="N10" i="2"/>
  <c r="N9" i="2"/>
  <c r="N8" i="2"/>
  <c r="N7" i="2"/>
  <c r="N6" i="2"/>
  <c r="N5" i="2"/>
  <c r="N22" i="2" l="1"/>
  <c r="N23" i="2"/>
  <c r="N21" i="2"/>
  <c r="N18" i="2"/>
  <c r="N25" i="2" l="1"/>
  <c r="M17" i="2" l="1"/>
  <c r="M16" i="2"/>
  <c r="M15" i="2"/>
  <c r="M14" i="2"/>
  <c r="M24" i="2" s="1"/>
  <c r="M13" i="2"/>
  <c r="M12" i="2"/>
  <c r="M11" i="2"/>
  <c r="M10" i="2"/>
  <c r="M9" i="2"/>
  <c r="M8" i="2"/>
  <c r="M7" i="2"/>
  <c r="M6" i="2"/>
  <c r="M5" i="2"/>
  <c r="M22" i="2" l="1"/>
  <c r="M23" i="2"/>
  <c r="M18" i="2"/>
  <c r="M21" i="2"/>
  <c r="M25" i="2" l="1"/>
  <c r="U164" i="5" l="1"/>
  <c r="U173" i="5" s="1"/>
  <c r="Q3" i="5"/>
  <c r="S141" i="5"/>
  <c r="V141" i="5" s="1"/>
  <c r="S160" i="5"/>
  <c r="V160" i="5" s="1"/>
  <c r="S159" i="5"/>
  <c r="V159" i="5" s="1"/>
  <c r="S157" i="5"/>
  <c r="V157" i="5" s="1"/>
  <c r="S156" i="5"/>
  <c r="V156" i="5" s="1"/>
  <c r="S151" i="5"/>
  <c r="V151" i="5" s="1"/>
  <c r="S150" i="5"/>
  <c r="V150" i="5" s="1"/>
  <c r="S149" i="5"/>
  <c r="V149" i="5" s="1"/>
  <c r="S147" i="5"/>
  <c r="V147" i="5" s="1"/>
  <c r="S146" i="5"/>
  <c r="V146" i="5" s="1"/>
  <c r="S145" i="5"/>
  <c r="V145" i="5" s="1"/>
  <c r="S144" i="5"/>
  <c r="V144" i="5" s="1"/>
  <c r="S143" i="5"/>
  <c r="V143" i="5" s="1"/>
  <c r="S142" i="5"/>
  <c r="V142" i="5" s="1"/>
  <c r="S137" i="5"/>
  <c r="V137" i="5" s="1"/>
  <c r="S113" i="5"/>
  <c r="V113" i="5" s="1"/>
  <c r="S112" i="5"/>
  <c r="V112" i="5" s="1"/>
  <c r="S111" i="5"/>
  <c r="V111" i="5" s="1"/>
  <c r="S110" i="5"/>
  <c r="V110" i="5" s="1"/>
  <c r="S109" i="5"/>
  <c r="V109" i="5" s="1"/>
  <c r="S108" i="5"/>
  <c r="V108" i="5" s="1"/>
  <c r="S107" i="5"/>
  <c r="V107" i="5" s="1"/>
  <c r="S106" i="5"/>
  <c r="V106" i="5" s="1"/>
  <c r="S105" i="5"/>
  <c r="V105" i="5" s="1"/>
  <c r="S104" i="5"/>
  <c r="V104" i="5" s="1"/>
  <c r="S103" i="5"/>
  <c r="V103" i="5" s="1"/>
  <c r="S102" i="5"/>
  <c r="V102" i="5" s="1"/>
  <c r="S101" i="5"/>
  <c r="V101" i="5" s="1"/>
  <c r="S100" i="5"/>
  <c r="V100" i="5" s="1"/>
  <c r="S99" i="5"/>
  <c r="V99" i="5" s="1"/>
  <c r="S98" i="5"/>
  <c r="V98" i="5" s="1"/>
  <c r="S97" i="5"/>
  <c r="V97" i="5" s="1"/>
  <c r="S96" i="5"/>
  <c r="V96" i="5" s="1"/>
  <c r="S95" i="5"/>
  <c r="V95" i="5" s="1"/>
  <c r="S94" i="5"/>
  <c r="V94" i="5" s="1"/>
  <c r="S93" i="5"/>
  <c r="V93" i="5" s="1"/>
  <c r="S91" i="5"/>
  <c r="V91" i="5" s="1"/>
  <c r="S90" i="5"/>
  <c r="V90" i="5" s="1"/>
  <c r="S89" i="5"/>
  <c r="V89" i="5" s="1"/>
  <c r="S88" i="5"/>
  <c r="V88" i="5" s="1"/>
  <c r="S87" i="5"/>
  <c r="V87" i="5" s="1"/>
  <c r="S86" i="5"/>
  <c r="V86" i="5" s="1"/>
  <c r="S85" i="5"/>
  <c r="V85" i="5" s="1"/>
  <c r="S84" i="5"/>
  <c r="V84" i="5" s="1"/>
  <c r="S83" i="5"/>
  <c r="V83" i="5" s="1"/>
  <c r="S81" i="5"/>
  <c r="V81" i="5" s="1"/>
  <c r="S80" i="5"/>
  <c r="V80" i="5" s="1"/>
  <c r="S79" i="5"/>
  <c r="V79" i="5" s="1"/>
  <c r="S78" i="5"/>
  <c r="V78" i="5" s="1"/>
  <c r="S77" i="5"/>
  <c r="V77" i="5" s="1"/>
  <c r="S76" i="5"/>
  <c r="V76" i="5" s="1"/>
  <c r="S75" i="5"/>
  <c r="V75" i="5" s="1"/>
  <c r="S74" i="5"/>
  <c r="V74" i="5" s="1"/>
  <c r="S73" i="5"/>
  <c r="V73" i="5" s="1"/>
  <c r="S72" i="5"/>
  <c r="V72" i="5" s="1"/>
  <c r="S71" i="5"/>
  <c r="V71" i="5" s="1"/>
  <c r="S70" i="5"/>
  <c r="V70" i="5" s="1"/>
  <c r="S69" i="5"/>
  <c r="V69" i="5" s="1"/>
  <c r="S68" i="5"/>
  <c r="V68" i="5" s="1"/>
  <c r="S67" i="5"/>
  <c r="V67" i="5" s="1"/>
  <c r="S66" i="5"/>
  <c r="V66" i="5" s="1"/>
  <c r="S65" i="5"/>
  <c r="V65" i="5" s="1"/>
  <c r="S64" i="5"/>
  <c r="V64" i="5" s="1"/>
  <c r="S62" i="5"/>
  <c r="V62" i="5" s="1"/>
  <c r="S61" i="5"/>
  <c r="V61" i="5" s="1"/>
  <c r="S58" i="5"/>
  <c r="V58" i="5" s="1"/>
  <c r="S57" i="5"/>
  <c r="V57" i="5" s="1"/>
  <c r="S55" i="5"/>
  <c r="V55" i="5" s="1"/>
  <c r="S54" i="5"/>
  <c r="V54" i="5" s="1"/>
  <c r="S53" i="5"/>
  <c r="V53" i="5" s="1"/>
  <c r="S52" i="5"/>
  <c r="V52" i="5" s="1"/>
  <c r="S51" i="5"/>
  <c r="V51" i="5" s="1"/>
  <c r="S48" i="5"/>
  <c r="V48" i="5" s="1"/>
  <c r="S47" i="5"/>
  <c r="V47" i="5" s="1"/>
  <c r="S45" i="5"/>
  <c r="V45" i="5" s="1"/>
  <c r="S40" i="5"/>
  <c r="V40" i="5" s="1"/>
  <c r="S31" i="5"/>
  <c r="V31" i="5" s="1"/>
  <c r="S9" i="5"/>
  <c r="V9" i="5" s="1"/>
  <c r="S8" i="5"/>
  <c r="V8" i="5" s="1"/>
  <c r="S7" i="5"/>
  <c r="V7" i="5" s="1"/>
  <c r="M173" i="5"/>
  <c r="L134" i="5"/>
  <c r="L127" i="5"/>
  <c r="L125" i="5"/>
  <c r="L124" i="5"/>
  <c r="L123" i="5"/>
  <c r="L122" i="5"/>
  <c r="L36" i="5"/>
  <c r="L35" i="5"/>
  <c r="L33" i="5"/>
  <c r="L32" i="5"/>
  <c r="L30" i="5"/>
  <c r="L29" i="5"/>
  <c r="L28" i="5"/>
  <c r="L27" i="5"/>
  <c r="L16" i="5"/>
  <c r="L14" i="5"/>
  <c r="L5" i="5"/>
  <c r="T167" i="5" l="1"/>
  <c r="T151" i="5"/>
  <c r="T135" i="5"/>
  <c r="T119" i="5"/>
  <c r="T103" i="5"/>
  <c r="T87" i="5"/>
  <c r="T71" i="5"/>
  <c r="T55" i="5"/>
  <c r="T39" i="5"/>
  <c r="T23" i="5"/>
  <c r="T143" i="5"/>
  <c r="T31" i="5"/>
  <c r="T139" i="5"/>
  <c r="T107" i="5"/>
  <c r="T75" i="5"/>
  <c r="T11" i="5"/>
  <c r="R163" i="5"/>
  <c r="T147" i="5"/>
  <c r="T131" i="5"/>
  <c r="T115" i="5"/>
  <c r="T99" i="5"/>
  <c r="T83" i="5"/>
  <c r="T67" i="5"/>
  <c r="T51" i="5"/>
  <c r="T35" i="5"/>
  <c r="T19" i="5"/>
  <c r="T7" i="5"/>
  <c r="T159" i="5"/>
  <c r="T127" i="5"/>
  <c r="T111" i="5"/>
  <c r="T95" i="5"/>
  <c r="T79" i="5"/>
  <c r="T63" i="5"/>
  <c r="T47" i="5"/>
  <c r="T15" i="5"/>
  <c r="T155" i="5"/>
  <c r="T91" i="5"/>
  <c r="T59" i="5"/>
  <c r="T27" i="5"/>
  <c r="T123" i="5"/>
  <c r="T43" i="5"/>
  <c r="T8" i="5"/>
  <c r="O36" i="5"/>
  <c r="T88" i="5"/>
  <c r="T136" i="5"/>
  <c r="T85" i="5"/>
  <c r="T141" i="5"/>
  <c r="T40" i="5"/>
  <c r="T80" i="5"/>
  <c r="T13" i="5"/>
  <c r="T61" i="5"/>
  <c r="T105" i="5"/>
  <c r="O145" i="5"/>
  <c r="T10" i="5"/>
  <c r="T26" i="5"/>
  <c r="T42" i="5"/>
  <c r="T74" i="5"/>
  <c r="T90" i="5"/>
  <c r="T106" i="5"/>
  <c r="T138" i="5"/>
  <c r="T154" i="5"/>
  <c r="T170" i="5"/>
  <c r="T104" i="5"/>
  <c r="T156" i="5"/>
  <c r="T25" i="5"/>
  <c r="T109" i="5"/>
  <c r="T157" i="5"/>
  <c r="T76" i="5"/>
  <c r="R129" i="5"/>
  <c r="T72" i="5"/>
  <c r="T164" i="5"/>
  <c r="T93" i="5"/>
  <c r="T70" i="5"/>
  <c r="T118" i="5"/>
  <c r="T44" i="5"/>
  <c r="T57" i="5"/>
  <c r="T48" i="5"/>
  <c r="T148" i="5"/>
  <c r="T37" i="5"/>
  <c r="T101" i="5"/>
  <c r="T52" i="5"/>
  <c r="T96" i="5"/>
  <c r="T144" i="5"/>
  <c r="T29" i="5"/>
  <c r="T73" i="5"/>
  <c r="T113" i="5"/>
  <c r="T153" i="5"/>
  <c r="T30" i="5"/>
  <c r="T46" i="5"/>
  <c r="T62" i="5"/>
  <c r="T94" i="5"/>
  <c r="T110" i="5"/>
  <c r="T126" i="5"/>
  <c r="O142" i="5"/>
  <c r="T158" i="5"/>
  <c r="T20" i="5"/>
  <c r="T68" i="5"/>
  <c r="T120" i="5"/>
  <c r="T168" i="5"/>
  <c r="T33" i="5"/>
  <c r="T77" i="5"/>
  <c r="T169" i="5"/>
  <c r="T24" i="5"/>
  <c r="T124" i="5"/>
  <c r="T69" i="5"/>
  <c r="T28" i="5"/>
  <c r="T116" i="5"/>
  <c r="T137" i="5"/>
  <c r="T6" i="5"/>
  <c r="T54" i="5"/>
  <c r="O102" i="5"/>
  <c r="T150" i="5"/>
  <c r="T17" i="5"/>
  <c r="T97" i="5"/>
  <c r="T60" i="5"/>
  <c r="T112" i="5"/>
  <c r="T160" i="5"/>
  <c r="T53" i="5"/>
  <c r="T117" i="5"/>
  <c r="T16" i="5"/>
  <c r="T64" i="5"/>
  <c r="T152" i="5"/>
  <c r="T41" i="5"/>
  <c r="T81" i="5"/>
  <c r="T125" i="5"/>
  <c r="T165" i="5"/>
  <c r="T18" i="5"/>
  <c r="T34" i="5"/>
  <c r="T50" i="5"/>
  <c r="T66" i="5"/>
  <c r="T82" i="5"/>
  <c r="T98" i="5"/>
  <c r="T130" i="5"/>
  <c r="T146" i="5"/>
  <c r="T162" i="5"/>
  <c r="T84" i="5"/>
  <c r="T128" i="5"/>
  <c r="T5" i="5"/>
  <c r="T89" i="5"/>
  <c r="T133" i="5"/>
  <c r="T38" i="5"/>
  <c r="T134" i="5"/>
  <c r="T166" i="5"/>
  <c r="T140" i="5"/>
  <c r="O20" i="5" l="1"/>
  <c r="R118" i="5"/>
  <c r="R164" i="5"/>
  <c r="O81" i="5"/>
  <c r="R44" i="5"/>
  <c r="R81" i="5"/>
  <c r="R77" i="5"/>
  <c r="R17" i="5"/>
  <c r="R97" i="5"/>
  <c r="O118" i="5"/>
  <c r="S118" i="5" s="1"/>
  <c r="V118" i="5" s="1"/>
  <c r="R80" i="5"/>
  <c r="R153" i="5"/>
  <c r="O76" i="5"/>
  <c r="O42" i="5"/>
  <c r="S42" i="5" s="1"/>
  <c r="V42" i="5" s="1"/>
  <c r="O24" i="5"/>
  <c r="R24" i="5"/>
  <c r="R162" i="5"/>
  <c r="O133" i="5"/>
  <c r="O17" i="5"/>
  <c r="R41" i="5"/>
  <c r="R18" i="5"/>
  <c r="R28" i="5"/>
  <c r="R150" i="5"/>
  <c r="R50" i="5"/>
  <c r="R124" i="5"/>
  <c r="O50" i="5"/>
  <c r="S50" i="5" s="1"/>
  <c r="V50" i="5" s="1"/>
  <c r="O124" i="5"/>
  <c r="O54" i="5"/>
  <c r="O144" i="5"/>
  <c r="R152" i="5"/>
  <c r="R52" i="5"/>
  <c r="R120" i="5"/>
  <c r="O60" i="5"/>
  <c r="S60" i="5" s="1"/>
  <c r="V60" i="5" s="1"/>
  <c r="O13" i="5"/>
  <c r="O109" i="5"/>
  <c r="R138" i="5"/>
  <c r="R109" i="5"/>
  <c r="R94" i="5"/>
  <c r="R141" i="5"/>
  <c r="O88" i="5"/>
  <c r="R10" i="5"/>
  <c r="O66" i="5"/>
  <c r="R73" i="5"/>
  <c r="R30" i="5"/>
  <c r="R130" i="5"/>
  <c r="R134" i="5"/>
  <c r="O138" i="5"/>
  <c r="O10" i="5"/>
  <c r="R57" i="5"/>
  <c r="R66" i="5"/>
  <c r="R13" i="5"/>
  <c r="R70" i="5"/>
  <c r="O101" i="5"/>
  <c r="O154" i="5"/>
  <c r="S154" i="5" s="1"/>
  <c r="V154" i="5" s="1"/>
  <c r="R133" i="5"/>
  <c r="O98" i="5"/>
  <c r="O34" i="5"/>
  <c r="S34" i="5" s="1"/>
  <c r="V34" i="5" s="1"/>
  <c r="R54" i="5"/>
  <c r="R116" i="5"/>
  <c r="R25" i="5"/>
  <c r="R146" i="5"/>
  <c r="O140" i="5"/>
  <c r="O113" i="5"/>
  <c r="R38" i="5"/>
  <c r="R6" i="5"/>
  <c r="O128" i="5"/>
  <c r="O26" i="5"/>
  <c r="O162" i="5"/>
  <c r="R4" i="5"/>
  <c r="T4" i="5"/>
  <c r="R154" i="5"/>
  <c r="R26" i="5"/>
  <c r="O164" i="5"/>
  <c r="S164" i="5" s="1"/>
  <c r="V164" i="5" s="1"/>
  <c r="O77" i="5"/>
  <c r="R34" i="5"/>
  <c r="O38" i="5"/>
  <c r="R46" i="5"/>
  <c r="R20" i="5"/>
  <c r="R98" i="5"/>
  <c r="O156" i="5"/>
  <c r="O97" i="5"/>
  <c r="R33" i="5"/>
  <c r="R160" i="5"/>
  <c r="R101" i="5"/>
  <c r="R149" i="5"/>
  <c r="T149" i="5"/>
  <c r="O86" i="5"/>
  <c r="T86" i="5"/>
  <c r="R45" i="5"/>
  <c r="T45" i="5"/>
  <c r="R32" i="5"/>
  <c r="T32" i="5"/>
  <c r="R114" i="5"/>
  <c r="T114" i="5"/>
  <c r="O108" i="5"/>
  <c r="T108" i="5"/>
  <c r="R12" i="5"/>
  <c r="T12" i="5"/>
  <c r="R102" i="5"/>
  <c r="T102" i="5"/>
  <c r="R49" i="5"/>
  <c r="T49" i="5"/>
  <c r="R9" i="5"/>
  <c r="T9" i="5"/>
  <c r="R121" i="5"/>
  <c r="T121" i="5"/>
  <c r="R142" i="5"/>
  <c r="T142" i="5"/>
  <c r="R78" i="5"/>
  <c r="T78" i="5"/>
  <c r="O14" i="5"/>
  <c r="T14" i="5"/>
  <c r="R161" i="5"/>
  <c r="T161" i="5"/>
  <c r="O100" i="5"/>
  <c r="T100" i="5"/>
  <c r="O92" i="5"/>
  <c r="S92" i="5" s="1"/>
  <c r="V92" i="5" s="1"/>
  <c r="T92" i="5"/>
  <c r="R22" i="5"/>
  <c r="T22" i="5"/>
  <c r="O129" i="5"/>
  <c r="S129" i="5" s="1"/>
  <c r="V129" i="5" s="1"/>
  <c r="T129" i="5"/>
  <c r="O65" i="5"/>
  <c r="T65" i="5"/>
  <c r="R56" i="5"/>
  <c r="T56" i="5"/>
  <c r="O122" i="5"/>
  <c r="T122" i="5"/>
  <c r="R58" i="5"/>
  <c r="T58" i="5"/>
  <c r="R145" i="5"/>
  <c r="T145" i="5"/>
  <c r="R132" i="5"/>
  <c r="T132" i="5"/>
  <c r="R36" i="5"/>
  <c r="T36" i="5"/>
  <c r="T21" i="5"/>
  <c r="R21" i="5"/>
  <c r="O163" i="5"/>
  <c r="T163" i="5"/>
  <c r="O114" i="5"/>
  <c r="S114" i="5" s="1"/>
  <c r="V114" i="5" s="1"/>
  <c r="O22" i="5"/>
  <c r="R100" i="5"/>
  <c r="R14" i="5"/>
  <c r="O161" i="5"/>
  <c r="R65" i="5"/>
  <c r="R86" i="5"/>
  <c r="R166" i="5"/>
  <c r="O166" i="5"/>
  <c r="N173" i="5"/>
  <c r="O167" i="5"/>
  <c r="R167" i="5"/>
  <c r="O78" i="5"/>
  <c r="O12" i="5"/>
  <c r="R165" i="5"/>
  <c r="O165" i="5"/>
  <c r="O169" i="5"/>
  <c r="R169" i="5"/>
  <c r="R168" i="5"/>
  <c r="O168" i="5"/>
  <c r="O58" i="5"/>
  <c r="O160" i="5"/>
  <c r="R144" i="5"/>
  <c r="R108" i="5"/>
  <c r="O141" i="5"/>
  <c r="O56" i="5"/>
  <c r="S56" i="5" s="1"/>
  <c r="V56" i="5" s="1"/>
  <c r="O150" i="5"/>
  <c r="R60" i="5"/>
  <c r="O41" i="5"/>
  <c r="S41" i="5" s="1"/>
  <c r="V41" i="5" s="1"/>
  <c r="O121" i="5"/>
  <c r="O57" i="5"/>
  <c r="O120" i="5"/>
  <c r="S120" i="5" s="1"/>
  <c r="V120" i="5" s="1"/>
  <c r="O44" i="5"/>
  <c r="O25" i="5"/>
  <c r="R122" i="5"/>
  <c r="O134" i="5"/>
  <c r="O6" i="5"/>
  <c r="O132" i="5"/>
  <c r="S132" i="5" s="1"/>
  <c r="V132" i="5" s="1"/>
  <c r="O18" i="5"/>
  <c r="O4" i="5"/>
  <c r="O70" i="5"/>
  <c r="S26" i="5"/>
  <c r="V26" i="5" s="1"/>
  <c r="O30" i="5"/>
  <c r="S133" i="5"/>
  <c r="V133" i="5" s="1"/>
  <c r="S121" i="5"/>
  <c r="V121" i="5" s="1"/>
  <c r="O152" i="5"/>
  <c r="S152" i="5" s="1"/>
  <c r="V152" i="5" s="1"/>
  <c r="S38" i="5"/>
  <c r="V38" i="5" s="1"/>
  <c r="R137" i="5"/>
  <c r="O137" i="5"/>
  <c r="R85" i="5"/>
  <c r="O85" i="5"/>
  <c r="O94" i="5"/>
  <c r="O149" i="5"/>
  <c r="R76" i="5"/>
  <c r="O33" i="5"/>
  <c r="R110" i="5"/>
  <c r="O110" i="5"/>
  <c r="R68" i="5"/>
  <c r="O68" i="5"/>
  <c r="R82" i="5"/>
  <c r="O82" i="5"/>
  <c r="O40" i="5"/>
  <c r="R40" i="5"/>
  <c r="R37" i="5"/>
  <c r="O37" i="5"/>
  <c r="S37" i="5" s="1"/>
  <c r="V37" i="5" s="1"/>
  <c r="R16" i="5"/>
  <c r="O16" i="5"/>
  <c r="R113" i="5"/>
  <c r="O146" i="5"/>
  <c r="O80" i="5"/>
  <c r="O52" i="5"/>
  <c r="R128" i="5"/>
  <c r="R42" i="5"/>
  <c r="O46" i="5"/>
  <c r="S46" i="5" s="1"/>
  <c r="V46" i="5" s="1"/>
  <c r="O130" i="5"/>
  <c r="O28" i="5"/>
  <c r="R148" i="5"/>
  <c r="O148" i="5"/>
  <c r="R126" i="5"/>
  <c r="O126" i="5"/>
  <c r="R105" i="5"/>
  <c r="O105" i="5"/>
  <c r="R84" i="5"/>
  <c r="O84" i="5"/>
  <c r="R62" i="5"/>
  <c r="O62" i="5"/>
  <c r="R117" i="5"/>
  <c r="O117" i="5"/>
  <c r="S117" i="5" s="1"/>
  <c r="V117" i="5" s="1"/>
  <c r="R96" i="5"/>
  <c r="O96" i="5"/>
  <c r="R74" i="5"/>
  <c r="O74" i="5"/>
  <c r="R53" i="5"/>
  <c r="O53" i="5"/>
  <c r="O32" i="5"/>
  <c r="R158" i="5"/>
  <c r="O158" i="5"/>
  <c r="S158" i="5" s="1"/>
  <c r="V158" i="5" s="1"/>
  <c r="R106" i="5"/>
  <c r="O106" i="5"/>
  <c r="R64" i="5"/>
  <c r="O64" i="5"/>
  <c r="O21" i="5"/>
  <c r="R88" i="5"/>
  <c r="R140" i="5"/>
  <c r="R89" i="5"/>
  <c r="O89" i="5"/>
  <c r="O125" i="5"/>
  <c r="R125" i="5"/>
  <c r="R104" i="5"/>
  <c r="O104" i="5"/>
  <c r="O61" i="5"/>
  <c r="R61" i="5"/>
  <c r="R156" i="5"/>
  <c r="R92" i="5"/>
  <c r="O116" i="5"/>
  <c r="O73" i="5"/>
  <c r="O9" i="5"/>
  <c r="O153" i="5"/>
  <c r="S153" i="5" s="1"/>
  <c r="V153" i="5" s="1"/>
  <c r="O45" i="5"/>
  <c r="O49" i="5"/>
  <c r="S49" i="5" s="1"/>
  <c r="V49" i="5" s="1"/>
  <c r="O157" i="5"/>
  <c r="R157" i="5"/>
  <c r="O136" i="5"/>
  <c r="R136" i="5"/>
  <c r="O93" i="5"/>
  <c r="R93" i="5"/>
  <c r="O72" i="5"/>
  <c r="R72" i="5"/>
  <c r="O29" i="5"/>
  <c r="S29" i="5" s="1"/>
  <c r="V29" i="5" s="1"/>
  <c r="R29" i="5"/>
  <c r="O8" i="5"/>
  <c r="R8" i="5"/>
  <c r="R112" i="5"/>
  <c r="O112" i="5"/>
  <c r="R90" i="5"/>
  <c r="O90" i="5"/>
  <c r="R69" i="5"/>
  <c r="O69" i="5"/>
  <c r="R48" i="5"/>
  <c r="O48" i="5"/>
  <c r="R5" i="5"/>
  <c r="O5" i="5"/>
  <c r="S5" i="5" s="1"/>
  <c r="V5" i="5" s="1"/>
  <c r="S44" i="5"/>
  <c r="V44" i="5" s="1"/>
  <c r="O159" i="5"/>
  <c r="R159" i="5"/>
  <c r="O143" i="5"/>
  <c r="R143" i="5"/>
  <c r="O127" i="5"/>
  <c r="R127" i="5"/>
  <c r="O111" i="5"/>
  <c r="R111" i="5"/>
  <c r="O95" i="5"/>
  <c r="R95" i="5"/>
  <c r="O79" i="5"/>
  <c r="R79" i="5"/>
  <c r="O63" i="5"/>
  <c r="R63" i="5"/>
  <c r="R47" i="5"/>
  <c r="O47" i="5"/>
  <c r="R31" i="5"/>
  <c r="O31" i="5"/>
  <c r="R15" i="5"/>
  <c r="O15" i="5"/>
  <c r="O155" i="5"/>
  <c r="S155" i="5" s="1"/>
  <c r="V155" i="5" s="1"/>
  <c r="R155" i="5"/>
  <c r="O139" i="5"/>
  <c r="R139" i="5"/>
  <c r="O123" i="5"/>
  <c r="R123" i="5"/>
  <c r="O107" i="5"/>
  <c r="R107" i="5"/>
  <c r="O91" i="5"/>
  <c r="R91" i="5"/>
  <c r="O75" i="5"/>
  <c r="R75" i="5"/>
  <c r="O59" i="5"/>
  <c r="S59" i="5" s="1"/>
  <c r="V59" i="5" s="1"/>
  <c r="R59" i="5"/>
  <c r="R43" i="5"/>
  <c r="O43" i="5"/>
  <c r="S43" i="5" s="1"/>
  <c r="V43" i="5" s="1"/>
  <c r="R27" i="5"/>
  <c r="O27" i="5"/>
  <c r="R11" i="5"/>
  <c r="O11" i="5"/>
  <c r="O151" i="5"/>
  <c r="R151" i="5"/>
  <c r="O135" i="5"/>
  <c r="S135" i="5" s="1"/>
  <c r="V135" i="5" s="1"/>
  <c r="R135" i="5"/>
  <c r="O119" i="5"/>
  <c r="R119" i="5"/>
  <c r="O103" i="5"/>
  <c r="R103" i="5"/>
  <c r="O87" i="5"/>
  <c r="R87" i="5"/>
  <c r="O71" i="5"/>
  <c r="R71" i="5"/>
  <c r="O55" i="5"/>
  <c r="R55" i="5"/>
  <c r="R39" i="5"/>
  <c r="O39" i="5"/>
  <c r="S39" i="5" s="1"/>
  <c r="V39" i="5" s="1"/>
  <c r="R23" i="5"/>
  <c r="O23" i="5"/>
  <c r="S23" i="5" s="1"/>
  <c r="V23" i="5" s="1"/>
  <c r="R7" i="5"/>
  <c r="O7" i="5"/>
  <c r="O147" i="5"/>
  <c r="R147" i="5"/>
  <c r="O131" i="5"/>
  <c r="R131" i="5"/>
  <c r="O115" i="5"/>
  <c r="S115" i="5" s="1"/>
  <c r="V115" i="5" s="1"/>
  <c r="R115" i="5"/>
  <c r="O99" i="5"/>
  <c r="R99" i="5"/>
  <c r="O83" i="5"/>
  <c r="R83" i="5"/>
  <c r="O67" i="5"/>
  <c r="R67" i="5"/>
  <c r="O51" i="5"/>
  <c r="R51" i="5"/>
  <c r="R35" i="5"/>
  <c r="O35" i="5"/>
  <c r="O19" i="5"/>
  <c r="R19" i="5"/>
  <c r="T173" i="5" l="1"/>
  <c r="S134" i="5"/>
  <c r="V134" i="5" s="1"/>
  <c r="S119" i="5"/>
  <c r="V119" i="5" s="1"/>
  <c r="S35" i="5"/>
  <c r="V35" i="5" s="1"/>
  <c r="S116" i="5"/>
  <c r="V116" i="5" s="1"/>
  <c r="S127" i="5"/>
  <c r="V127" i="5" s="1"/>
  <c r="S131" i="5"/>
  <c r="V131" i="5" s="1"/>
  <c r="S139" i="5"/>
  <c r="V139" i="5" s="1"/>
  <c r="V173" i="5" s="1"/>
  <c r="S27" i="5"/>
  <c r="V27" i="5" s="1"/>
  <c r="S130" i="5"/>
  <c r="V130" i="5" s="1"/>
  <c r="S33" i="5"/>
  <c r="V33" i="5" s="1"/>
  <c r="O173" i="5"/>
  <c r="P173" i="5"/>
  <c r="R173" i="5"/>
  <c r="S173" i="5" l="1"/>
  <c r="P138" i="1"/>
  <c r="L17" i="2" l="1"/>
  <c r="L16" i="2"/>
  <c r="L15" i="2"/>
  <c r="L14" i="2"/>
  <c r="L24" i="2" s="1"/>
  <c r="L13" i="2"/>
  <c r="L12" i="2"/>
  <c r="L11" i="2"/>
  <c r="L10" i="2"/>
  <c r="L9" i="2"/>
  <c r="L8" i="2"/>
  <c r="L7" i="2"/>
  <c r="L6" i="2"/>
  <c r="L5" i="2"/>
  <c r="L23" i="2" l="1"/>
  <c r="L21" i="2"/>
  <c r="L22" i="2"/>
  <c r="L18" i="2"/>
  <c r="L25" i="2" l="1"/>
  <c r="O139" i="1"/>
  <c r="N139" i="1"/>
  <c r="N136" i="1"/>
  <c r="O135" i="1"/>
  <c r="N135" i="1"/>
  <c r="O134" i="1"/>
  <c r="N134" i="1"/>
  <c r="O133" i="1"/>
  <c r="N133" i="1"/>
  <c r="O36" i="1"/>
  <c r="N36" i="1"/>
  <c r="O35" i="1"/>
  <c r="N35" i="1"/>
  <c r="O32" i="1"/>
  <c r="N32" i="1"/>
  <c r="O30" i="1"/>
  <c r="N30" i="1"/>
  <c r="O29" i="1"/>
  <c r="N29" i="1"/>
  <c r="O28" i="1"/>
  <c r="N28" i="1"/>
  <c r="N27" i="1"/>
  <c r="O25" i="1"/>
  <c r="N25" i="1"/>
  <c r="O24" i="1"/>
  <c r="N24" i="1"/>
  <c r="K16" i="2"/>
  <c r="J16" i="2"/>
  <c r="K14" i="2" l="1"/>
  <c r="K24" i="2" s="1"/>
  <c r="J14" i="2"/>
  <c r="J24" i="2" s="1"/>
  <c r="J6" i="2"/>
  <c r="K17" i="2"/>
  <c r="K15" i="2"/>
  <c r="K13" i="2"/>
  <c r="K12" i="2"/>
  <c r="K11" i="2"/>
  <c r="K10" i="2"/>
  <c r="K9" i="2"/>
  <c r="K8" i="2"/>
  <c r="K7" i="2"/>
  <c r="K6" i="2"/>
  <c r="K5" i="2"/>
  <c r="J17" i="2"/>
  <c r="J15" i="2"/>
  <c r="J13" i="2"/>
  <c r="J12" i="2"/>
  <c r="J11" i="2"/>
  <c r="J10" i="2"/>
  <c r="J9" i="2"/>
  <c r="J8" i="2"/>
  <c r="J7" i="2"/>
  <c r="J5" i="2"/>
  <c r="J21" i="2" l="1"/>
  <c r="K21" i="2"/>
  <c r="K23" i="2"/>
  <c r="J23" i="2"/>
  <c r="K22" i="2"/>
  <c r="J22" i="2"/>
  <c r="J18" i="2"/>
  <c r="K18" i="2"/>
  <c r="K25" i="2" l="1"/>
  <c r="J25" i="2"/>
  <c r="H23" i="2" l="1"/>
  <c r="H22" i="2"/>
  <c r="H21" i="2"/>
  <c r="G21" i="2"/>
  <c r="G24" i="2"/>
  <c r="G23" i="2"/>
  <c r="G22" i="2"/>
  <c r="I17" i="2"/>
  <c r="I16" i="2"/>
  <c r="I15" i="2"/>
  <c r="H14" i="2"/>
  <c r="H24" i="2" s="1"/>
  <c r="I14" i="2"/>
  <c r="I24" i="2" s="1"/>
  <c r="I13" i="2"/>
  <c r="I12" i="2"/>
  <c r="I11" i="2"/>
  <c r="I10" i="2"/>
  <c r="I9" i="2"/>
  <c r="I8" i="2"/>
  <c r="I7" i="2"/>
  <c r="I6" i="2"/>
  <c r="I5" i="2"/>
  <c r="I23" i="2" l="1"/>
  <c r="I21" i="2"/>
  <c r="I22" i="2"/>
  <c r="H25" i="2"/>
  <c r="I18" i="2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I25" i="2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85" i="3"/>
  <c r="E84" i="3"/>
  <c r="E83" i="3"/>
  <c r="E82" i="3"/>
  <c r="L16" i="1" l="1"/>
  <c r="L14" i="1"/>
  <c r="L127" i="1" l="1"/>
  <c r="L125" i="1"/>
  <c r="L124" i="1"/>
  <c r="L123" i="1"/>
  <c r="L122" i="1"/>
  <c r="L5" i="1"/>
  <c r="H18" i="2"/>
  <c r="G18" i="2"/>
  <c r="L36" i="1"/>
  <c r="L35" i="1"/>
  <c r="L33" i="1"/>
  <c r="L32" i="1"/>
  <c r="L134" i="1"/>
  <c r="L30" i="1"/>
  <c r="L29" i="1"/>
  <c r="L28" i="1"/>
  <c r="L27" i="1"/>
  <c r="G25" i="2" l="1"/>
  <c r="C5" i="1"/>
  <c r="C6" i="1" l="1"/>
  <c r="C5" i="5"/>
  <c r="C7" i="1" l="1"/>
  <c r="C6" i="5"/>
  <c r="C8" i="1" l="1"/>
  <c r="C7" i="5"/>
  <c r="C9" i="1" l="1"/>
  <c r="C8" i="5"/>
  <c r="C10" i="1" l="1"/>
  <c r="C9" i="5"/>
  <c r="C10" i="5" l="1"/>
  <c r="C11" i="1"/>
  <c r="C11" i="5" l="1"/>
  <c r="C12" i="1"/>
  <c r="C12" i="5" l="1"/>
  <c r="C13" i="1"/>
  <c r="C14" i="1" l="1"/>
  <c r="C13" i="5"/>
  <c r="C15" i="1" l="1"/>
  <c r="C14" i="5"/>
  <c r="C16" i="1" l="1"/>
  <c r="C15" i="5"/>
  <c r="C17" i="1" l="1"/>
  <c r="C16" i="5"/>
  <c r="C18" i="1" l="1"/>
  <c r="C17" i="5"/>
  <c r="C19" i="1" l="1"/>
  <c r="C18" i="5"/>
  <c r="C19" i="5" l="1"/>
  <c r="C20" i="1"/>
  <c r="C21" i="1" l="1"/>
  <c r="C20" i="5"/>
  <c r="C22" i="1" l="1"/>
  <c r="C21" i="5"/>
  <c r="C23" i="1" l="1"/>
  <c r="C22" i="5"/>
  <c r="C24" i="1" l="1"/>
  <c r="C23" i="5"/>
  <c r="C25" i="1" l="1"/>
  <c r="C24" i="5"/>
  <c r="C26" i="1" l="1"/>
  <c r="C25" i="5"/>
  <c r="C27" i="1" l="1"/>
  <c r="C26" i="5"/>
  <c r="C28" i="1" l="1"/>
  <c r="C27" i="5"/>
  <c r="C29" i="1" l="1"/>
  <c r="C28" i="5"/>
  <c r="C30" i="1" l="1"/>
  <c r="C29" i="5"/>
  <c r="C31" i="1" l="1"/>
  <c r="C30" i="5"/>
  <c r="C32" i="1" l="1"/>
  <c r="C31" i="5"/>
  <c r="C33" i="1" l="1"/>
  <c r="C32" i="5"/>
  <c r="C34" i="1" l="1"/>
  <c r="C33" i="5"/>
  <c r="C35" i="1" l="1"/>
  <c r="C34" i="5"/>
  <c r="C36" i="1" l="1"/>
  <c r="C35" i="5"/>
  <c r="C37" i="1" l="1"/>
  <c r="C36" i="5"/>
  <c r="C38" i="1" l="1"/>
  <c r="C37" i="5"/>
  <c r="C39" i="1" l="1"/>
  <c r="C38" i="5"/>
  <c r="C40" i="1" l="1"/>
  <c r="C39" i="5"/>
  <c r="C41" i="1" l="1"/>
  <c r="C40" i="5"/>
  <c r="C42" i="1" l="1"/>
  <c r="C41" i="5"/>
  <c r="C43" i="1" l="1"/>
  <c r="C42" i="5"/>
  <c r="C44" i="1" l="1"/>
  <c r="C43" i="5"/>
  <c r="C45" i="1" l="1"/>
  <c r="C44" i="5"/>
  <c r="C46" i="1" l="1"/>
  <c r="C45" i="5"/>
  <c r="C47" i="1" l="1"/>
  <c r="C46" i="5"/>
  <c r="C48" i="1" l="1"/>
  <c r="C47" i="5"/>
  <c r="C49" i="1" l="1"/>
  <c r="C48" i="5"/>
  <c r="C50" i="1" l="1"/>
  <c r="C49" i="5"/>
  <c r="C51" i="1" l="1"/>
  <c r="C50" i="5"/>
  <c r="C52" i="1" l="1"/>
  <c r="C51" i="5"/>
  <c r="C53" i="1" l="1"/>
  <c r="C52" i="5"/>
  <c r="C54" i="1" l="1"/>
  <c r="C53" i="5"/>
  <c r="C55" i="1" l="1"/>
  <c r="C54" i="5"/>
  <c r="C56" i="1" l="1"/>
  <c r="C55" i="5"/>
  <c r="C57" i="1" l="1"/>
  <c r="C56" i="5"/>
  <c r="C58" i="1" l="1"/>
  <c r="C57" i="5"/>
  <c r="C59" i="1" l="1"/>
  <c r="C58" i="5"/>
  <c r="C60" i="1" l="1"/>
  <c r="C59" i="5"/>
  <c r="C61" i="1" l="1"/>
  <c r="C60" i="5"/>
  <c r="C62" i="1" l="1"/>
  <c r="C61" i="5"/>
  <c r="C63" i="1" l="1"/>
  <c r="C62" i="5"/>
  <c r="C64" i="1" l="1"/>
  <c r="C63" i="5"/>
  <c r="C65" i="1" l="1"/>
  <c r="C64" i="5"/>
  <c r="C66" i="1" l="1"/>
  <c r="C65" i="5"/>
  <c r="C67" i="1" l="1"/>
  <c r="C66" i="5"/>
  <c r="C68" i="1" l="1"/>
  <c r="C67" i="5"/>
  <c r="C69" i="1" l="1"/>
  <c r="C68" i="5"/>
  <c r="C70" i="1" l="1"/>
  <c r="C69" i="5"/>
  <c r="C71" i="1" l="1"/>
  <c r="C70" i="5"/>
  <c r="C72" i="1" l="1"/>
  <c r="C71" i="5"/>
  <c r="C73" i="1" l="1"/>
  <c r="C72" i="5"/>
  <c r="C74" i="1" l="1"/>
  <c r="C73" i="5"/>
  <c r="C75" i="1" l="1"/>
  <c r="C74" i="5"/>
  <c r="C76" i="1" l="1"/>
  <c r="C75" i="5"/>
  <c r="C77" i="1" l="1"/>
  <c r="C76" i="5"/>
  <c r="C78" i="1" l="1"/>
  <c r="C77" i="5"/>
  <c r="C79" i="1" l="1"/>
  <c r="C78" i="5"/>
  <c r="C80" i="1" l="1"/>
  <c r="C79" i="5"/>
  <c r="C81" i="1" l="1"/>
  <c r="C80" i="5"/>
  <c r="C82" i="1" l="1"/>
  <c r="C81" i="5"/>
  <c r="C83" i="1" l="1"/>
  <c r="C82" i="5"/>
  <c r="C84" i="1" l="1"/>
  <c r="C83" i="5"/>
  <c r="C85" i="1" l="1"/>
  <c r="C84" i="5"/>
  <c r="C86" i="1" l="1"/>
  <c r="C85" i="5"/>
  <c r="C87" i="1" l="1"/>
  <c r="C86" i="5"/>
  <c r="C88" i="1" l="1"/>
  <c r="C87" i="5"/>
  <c r="C89" i="1" l="1"/>
  <c r="C88" i="5"/>
  <c r="C90" i="1" l="1"/>
  <c r="C89" i="5"/>
  <c r="C91" i="1" l="1"/>
  <c r="C90" i="5"/>
  <c r="C92" i="1" l="1"/>
  <c r="C91" i="5"/>
  <c r="C93" i="1" l="1"/>
  <c r="C92" i="5"/>
  <c r="C94" i="1" l="1"/>
  <c r="C93" i="5"/>
  <c r="C95" i="1" l="1"/>
  <c r="C94" i="5"/>
  <c r="C96" i="1" l="1"/>
  <c r="C95" i="5"/>
  <c r="C97" i="1" l="1"/>
  <c r="C96" i="5"/>
  <c r="C98" i="1" l="1"/>
  <c r="C97" i="5"/>
  <c r="C99" i="1" l="1"/>
  <c r="C98" i="5"/>
  <c r="C100" i="1" l="1"/>
  <c r="C99" i="5"/>
  <c r="C101" i="1" l="1"/>
  <c r="C100" i="5"/>
  <c r="C102" i="1" l="1"/>
  <c r="C101" i="5"/>
  <c r="C103" i="1" l="1"/>
  <c r="C102" i="5"/>
  <c r="C104" i="1" l="1"/>
  <c r="C103" i="5"/>
  <c r="C105" i="1" l="1"/>
  <c r="C104" i="5"/>
  <c r="C106" i="1" l="1"/>
  <c r="C105" i="5"/>
  <c r="C107" i="1" l="1"/>
  <c r="C106" i="5"/>
  <c r="C108" i="1" l="1"/>
  <c r="C107" i="5"/>
  <c r="C109" i="1" l="1"/>
  <c r="C108" i="5"/>
  <c r="C110" i="1" l="1"/>
  <c r="C109" i="5"/>
  <c r="C111" i="1" l="1"/>
  <c r="C110" i="5"/>
  <c r="C112" i="1" l="1"/>
  <c r="C111" i="5"/>
  <c r="C113" i="1" l="1"/>
  <c r="C112" i="5"/>
  <c r="C114" i="1" l="1"/>
  <c r="C113" i="5"/>
  <c r="C115" i="1" l="1"/>
  <c r="C114" i="5"/>
  <c r="C116" i="1" l="1"/>
  <c r="C115" i="5"/>
  <c r="C117" i="1" l="1"/>
  <c r="C116" i="5"/>
  <c r="C118" i="1" l="1"/>
  <c r="C117" i="5"/>
  <c r="C119" i="1" l="1"/>
  <c r="C118" i="5"/>
  <c r="C120" i="1" l="1"/>
  <c r="C119" i="5"/>
  <c r="C121" i="1" l="1"/>
  <c r="C120" i="5"/>
  <c r="C122" i="1" l="1"/>
  <c r="C121" i="5"/>
  <c r="C123" i="1" l="1"/>
  <c r="C122" i="5"/>
  <c r="C124" i="1" l="1"/>
  <c r="C123" i="5"/>
  <c r="C125" i="1" l="1"/>
  <c r="C124" i="5"/>
  <c r="C126" i="1" l="1"/>
  <c r="C125" i="5"/>
  <c r="C127" i="1" l="1"/>
  <c r="C126" i="5"/>
  <c r="C128" i="1" l="1"/>
  <c r="C127" i="5"/>
  <c r="C129" i="1" l="1"/>
  <c r="C128" i="5"/>
  <c r="C130" i="1" l="1"/>
  <c r="C129" i="5"/>
  <c r="C131" i="1" l="1"/>
  <c r="C130" i="5"/>
  <c r="C132" i="1" l="1"/>
  <c r="C131" i="5"/>
  <c r="C133" i="1" l="1"/>
  <c r="C132" i="5"/>
  <c r="C134" i="1" l="1"/>
  <c r="C133" i="5"/>
  <c r="C135" i="1" l="1"/>
  <c r="C134" i="5"/>
  <c r="C136" i="1" l="1"/>
  <c r="C135" i="5"/>
  <c r="C137" i="1" l="1"/>
  <c r="C136" i="5"/>
  <c r="C138" i="1" l="1"/>
  <c r="C137" i="5"/>
  <c r="C139" i="1" l="1"/>
  <c r="C138" i="5"/>
  <c r="C140" i="1" l="1"/>
  <c r="C139" i="5"/>
  <c r="C141" i="1" l="1"/>
  <c r="C140" i="5"/>
  <c r="C142" i="1" l="1"/>
  <c r="C141" i="5"/>
  <c r="C143" i="1" l="1"/>
  <c r="C142" i="5"/>
  <c r="C144" i="1" l="1"/>
  <c r="C143" i="5"/>
  <c r="C145" i="1" l="1"/>
  <c r="C144" i="5"/>
  <c r="C146" i="1" l="1"/>
  <c r="C145" i="5"/>
  <c r="C147" i="1" l="1"/>
  <c r="C146" i="5"/>
  <c r="C148" i="1" l="1"/>
  <c r="C147" i="5"/>
  <c r="C149" i="1" l="1"/>
  <c r="C148" i="5"/>
  <c r="C150" i="1" l="1"/>
  <c r="C149" i="5"/>
  <c r="C151" i="1" l="1"/>
  <c r="C150" i="5"/>
  <c r="C152" i="1" l="1"/>
  <c r="C151" i="5"/>
  <c r="C153" i="1" l="1"/>
  <c r="C152" i="5"/>
  <c r="C154" i="1" l="1"/>
  <c r="C153" i="5"/>
  <c r="C155" i="1" l="1"/>
  <c r="C154" i="5"/>
  <c r="C156" i="1" l="1"/>
  <c r="C155" i="5"/>
  <c r="C157" i="1" l="1"/>
  <c r="C156" i="5"/>
  <c r="C158" i="1" l="1"/>
  <c r="C157" i="5"/>
  <c r="C159" i="1" l="1"/>
  <c r="C158" i="5"/>
  <c r="C160" i="1" l="1"/>
  <c r="C159" i="5"/>
  <c r="C161" i="1" l="1"/>
  <c r="C160" i="5"/>
  <c r="C162" i="1" l="1"/>
  <c r="C161" i="5"/>
  <c r="C163" i="1" l="1"/>
  <c r="C162" i="5"/>
  <c r="C164" i="1" l="1"/>
  <c r="C163" i="5"/>
  <c r="C165" i="1" l="1"/>
  <c r="C164" i="5"/>
  <c r="C165" i="5" l="1"/>
  <c r="C166" i="1"/>
  <c r="C166" i="5" l="1"/>
  <c r="C167" i="1"/>
  <c r="C168" i="1" l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68" i="5" s="1"/>
  <c r="C16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L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seca
</t>
        </r>
      </text>
    </comment>
    <comment ref="L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M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N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O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P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Q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R31" authorId="0" shapeId="0" xr:uid="{BE402D75-F8A2-44BE-B8FF-B9E600223DC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S31" authorId="0" shapeId="0" xr:uid="{2B7630ED-BA0F-48BD-B013-77467466143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T31" authorId="0" shapeId="0" xr:uid="{980E6FA4-B4A4-489C-B516-18EC29BFE5B8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L1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 las esta vendiendo por fuera</t>
        </r>
      </text>
    </comment>
    <comment ref="L12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L6" authorId="0" shapeId="0" xr:uid="{446DA73C-3170-428D-91D6-48AE655B6974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seca
</t>
        </r>
      </text>
    </comment>
    <comment ref="L31" authorId="0" shapeId="0" xr:uid="{D41BB953-71E9-4ED1-BF6D-2A7BFF4F61C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baja demanda suspenden domicilios diarios
</t>
        </r>
      </text>
    </comment>
    <comment ref="L125" authorId="0" shapeId="0" xr:uid="{A30DF80C-4E51-4DFC-8712-D2CB3431515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 las esta vendiendo por fuera</t>
        </r>
      </text>
    </comment>
    <comment ref="L126" authorId="0" shapeId="0" xr:uid="{18B1B67E-03B4-4CBE-95CB-5E476F02872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Ley Seca</t>
        </r>
      </text>
    </comment>
  </commentList>
</comments>
</file>

<file path=xl/sharedStrings.xml><?xml version="1.0" encoding="utf-8"?>
<sst xmlns="http://schemas.openxmlformats.org/spreadsheetml/2006/main" count="1713" uniqueCount="716">
  <si>
    <t>Ciudad</t>
  </si>
  <si>
    <t>Cliente</t>
  </si>
  <si>
    <t xml:space="preserve">La Unión </t>
  </si>
  <si>
    <t>Supermercado MercaPlaza</t>
  </si>
  <si>
    <t>Rozo</t>
  </si>
  <si>
    <t>Estanco Blanco del Valle</t>
  </si>
  <si>
    <t>Guacarí</t>
  </si>
  <si>
    <t>Licores Los Paisas</t>
  </si>
  <si>
    <t xml:space="preserve">Valle </t>
  </si>
  <si>
    <t>SurtiFamiliar</t>
  </si>
  <si>
    <t>Supermercados Galerías Plaza</t>
  </si>
  <si>
    <t>Confandi</t>
  </si>
  <si>
    <t xml:space="preserve">Cali </t>
  </si>
  <si>
    <t>Línea Domicilio</t>
  </si>
  <si>
    <t>Licores La Amistad</t>
  </si>
  <si>
    <t xml:space="preserve">Los Gemelos </t>
  </si>
  <si>
    <t>El amigo de la Noche</t>
  </si>
  <si>
    <t>App</t>
  </si>
  <si>
    <t>La Rebaja</t>
  </si>
  <si>
    <t>312 806 22 21</t>
  </si>
  <si>
    <t>316 253 5816</t>
  </si>
  <si>
    <t>311 334 1151</t>
  </si>
  <si>
    <t>317 789 75 09</t>
  </si>
  <si>
    <t>310 413 95 50</t>
  </si>
  <si>
    <t>314 761 70 13</t>
  </si>
  <si>
    <t>224 4272</t>
  </si>
  <si>
    <t>317 550 3193</t>
  </si>
  <si>
    <t>312 736 9212</t>
  </si>
  <si>
    <t>311 393 5295</t>
  </si>
  <si>
    <t>323 423 8848</t>
  </si>
  <si>
    <t>305 372 46 39</t>
  </si>
  <si>
    <t>Autoservicio Mi Barrio</t>
  </si>
  <si>
    <t>Tuluá</t>
  </si>
  <si>
    <t>Bodega La Esperanza</t>
  </si>
  <si>
    <t>Licores Junior La 28</t>
  </si>
  <si>
    <t>Distribuidora Farallón</t>
  </si>
  <si>
    <t>Distribuidora La Madeja</t>
  </si>
  <si>
    <t>Buga</t>
  </si>
  <si>
    <t>Distribuidora El Madejón</t>
  </si>
  <si>
    <t>Andalucía</t>
  </si>
  <si>
    <t>Distribuidora Central de Andalucía</t>
  </si>
  <si>
    <t>Autoservicio El Campesino</t>
  </si>
  <si>
    <t>Licorera del Parque</t>
  </si>
  <si>
    <t>Trujillo</t>
  </si>
  <si>
    <t>Licorera El Alambique</t>
  </si>
  <si>
    <t>San Pedro</t>
  </si>
  <si>
    <t>Distribuidora San Pedro</t>
  </si>
  <si>
    <t>Mauro Market</t>
  </si>
  <si>
    <t>Licores El Estanco</t>
  </si>
  <si>
    <t>Cali</t>
  </si>
  <si>
    <t>Granero Rey</t>
  </si>
  <si>
    <t>Mercatoño</t>
  </si>
  <si>
    <t>Rapiexpress</t>
  </si>
  <si>
    <t>Supermercado Tarzan</t>
  </si>
  <si>
    <t>Miscelanea Viejo Willi</t>
  </si>
  <si>
    <t>Licores La Perla</t>
  </si>
  <si>
    <t>Licores Martha</t>
  </si>
  <si>
    <t>Licores Helen</t>
  </si>
  <si>
    <t>Mini Market 7</t>
  </si>
  <si>
    <t>Alvaro Prado</t>
  </si>
  <si>
    <t>Carlos Lopez</t>
  </si>
  <si>
    <t>Licores El Calidoso</t>
  </si>
  <si>
    <t>Granero y Estanco Martinez</t>
  </si>
  <si>
    <t>Grupo Empresarial JF</t>
  </si>
  <si>
    <t>Giovanny Molina</t>
  </si>
  <si>
    <t>Licores La Sucursal</t>
  </si>
  <si>
    <t>Richard Cundar Benavides</t>
  </si>
  <si>
    <t>Mercaplaza Mariano</t>
  </si>
  <si>
    <t>Licores Yeya</t>
  </si>
  <si>
    <t>supermercado Marce</t>
  </si>
  <si>
    <t>supermercado Nuevo Progreso</t>
  </si>
  <si>
    <t>Rapitienda Caldas</t>
  </si>
  <si>
    <t>Supermercado El Oasis</t>
  </si>
  <si>
    <t>Nicolas Elias</t>
  </si>
  <si>
    <t>Minarket 1000 y Mas</t>
  </si>
  <si>
    <t>Brandon Carvajal</t>
  </si>
  <si>
    <t>Carolina Espinosa</t>
  </si>
  <si>
    <t>Licores Los Cerros</t>
  </si>
  <si>
    <t>La Rebajona</t>
  </si>
  <si>
    <t>Willian Urrea</t>
  </si>
  <si>
    <t>Licores El Baratisimo</t>
  </si>
  <si>
    <t>Licores El Progreso</t>
  </si>
  <si>
    <t>Marco Tulio Giraldo</t>
  </si>
  <si>
    <t>Licores Sanchez</t>
  </si>
  <si>
    <t>Granero El Buen Precio</t>
  </si>
  <si>
    <t>Clara Esperanza Ardila</t>
  </si>
  <si>
    <t>Licores Las Morochas</t>
  </si>
  <si>
    <t>Licores La Abundancia</t>
  </si>
  <si>
    <t>Campo Alegre</t>
  </si>
  <si>
    <t>Tienda Rojo y Verde</t>
  </si>
  <si>
    <t>Poblado Campestre</t>
  </si>
  <si>
    <t>Tienda y Licores Mas Barato</t>
  </si>
  <si>
    <t>Minimarket El Majo</t>
  </si>
  <si>
    <t>Rendimercado Las 2 Palmas</t>
  </si>
  <si>
    <t>Rapitienda Leonardo</t>
  </si>
  <si>
    <t>Rancho y Llicores El Regalon</t>
  </si>
  <si>
    <t>Rapitienda Rivera Express</t>
  </si>
  <si>
    <t>Rapitienda El Sol</t>
  </si>
  <si>
    <t>Autoservicio y Panadería Caribe</t>
  </si>
  <si>
    <t>Autoservicio El Único</t>
  </si>
  <si>
    <t>Merca Bien</t>
  </si>
  <si>
    <t>Supermercado La Ganguita</t>
  </si>
  <si>
    <t>Supermercado Mega Líder</t>
  </si>
  <si>
    <t>Megalider Veracruz</t>
  </si>
  <si>
    <t>Autoservicio El Vencedor</t>
  </si>
  <si>
    <t>Rapitienda La Esperanza</t>
  </si>
  <si>
    <t>Granero el Progreso</t>
  </si>
  <si>
    <t>Autoservicio Monterrey</t>
  </si>
  <si>
    <t>Estanco Medallo</t>
  </si>
  <si>
    <t>El Rebajon</t>
  </si>
  <si>
    <t>Minimarket La Fortuna</t>
  </si>
  <si>
    <t>Minimarket Matecaña</t>
  </si>
  <si>
    <t>#</t>
  </si>
  <si>
    <t>Licores La 4ta Avenida</t>
  </si>
  <si>
    <t>Promoción</t>
  </si>
  <si>
    <t>Dirección</t>
  </si>
  <si>
    <t>Cl. 19 Oe. #4 A 11</t>
  </si>
  <si>
    <t xml:space="preserve">Tulua </t>
  </si>
  <si>
    <t xml:space="preserve">Tulua Centro Surtifamiliar </t>
  </si>
  <si>
    <t>CRA 21N° 25 – 76 </t>
  </si>
  <si>
    <t xml:space="preserve">Tulua Porveir Surtifamiliar </t>
  </si>
  <si>
    <t>DIAG. 23N° 9 – 28 </t>
  </si>
  <si>
    <t xml:space="preserve">Buga </t>
  </si>
  <si>
    <t xml:space="preserve">Buga Centro Surtifamiliar </t>
  </si>
  <si>
    <t>CRA 12N° 8 – 34 </t>
  </si>
  <si>
    <t xml:space="preserve">Buga Valle real Surtifamiliar </t>
  </si>
  <si>
    <t>CRA 30N° 12 – 64 </t>
  </si>
  <si>
    <t xml:space="preserve">Guacari Surtifamiliar </t>
  </si>
  <si>
    <t>CRA 7 N° 6 – 52</t>
  </si>
  <si>
    <t>Cerrito</t>
  </si>
  <si>
    <t>CALLE 8N° 13 – 52</t>
  </si>
  <si>
    <t xml:space="preserve">Vijes </t>
  </si>
  <si>
    <t>CALLE 7 N°4 – 80 ESQUINA</t>
  </si>
  <si>
    <t xml:space="preserve">Acopi </t>
  </si>
  <si>
    <t>CRA 40N° 12A – 237</t>
  </si>
  <si>
    <t>Alcazres</t>
  </si>
  <si>
    <t>CRA 1A5N° 71 – 46</t>
  </si>
  <si>
    <t>Alameda</t>
  </si>
  <si>
    <t>CL 9 B 23 C 65</t>
  </si>
  <si>
    <t xml:space="preserve">Caney </t>
  </si>
  <si>
    <t>CALLE 48N° – 83E ESQUINA</t>
  </si>
  <si>
    <t xml:space="preserve">comfandi Guadalupe </t>
  </si>
  <si>
    <t>Cl. 10 ##56,</t>
  </si>
  <si>
    <t xml:space="preserve">comfandi torres </t>
  </si>
  <si>
    <t>Cra. 1 #56-20</t>
  </si>
  <si>
    <t xml:space="preserve">comfandi san fernando </t>
  </si>
  <si>
    <t>Cra. 36 #68</t>
  </si>
  <si>
    <t xml:space="preserve">super A </t>
  </si>
  <si>
    <t>oeste santa teresita, Av. 2 Oe</t>
  </si>
  <si>
    <t>Marques 3años Botella + Can Agte  - Marques 3años Botella  + Can Marques 3años</t>
  </si>
  <si>
    <t xml:space="preserve">Marques 3años Botella + Can Agte </t>
  </si>
  <si>
    <t>Los Paisas de la 44</t>
  </si>
  <si>
    <t>calle 44 # 14-62</t>
  </si>
  <si>
    <t>Brisas de Juanchito</t>
  </si>
  <si>
    <t>Marques 3años Botella + Can Agte  - Marques 3años Botella  + Can Marques 3años -Marques Bot 3años P2 x 3 - Marques Can P2 X3</t>
  </si>
  <si>
    <t>Carrera 8 #72-04</t>
  </si>
  <si>
    <t>La 66</t>
  </si>
  <si>
    <t>Carrera 66 #10-12</t>
  </si>
  <si>
    <t>La Mayorista</t>
  </si>
  <si>
    <t>El Poblado</t>
  </si>
  <si>
    <t>Marques 3años Botella + Can Agte  - Marques 3años Botella + Can Marques 3años - Marques Can P2 X3</t>
  </si>
  <si>
    <t>Diagonal 70 # 25e-10</t>
  </si>
  <si>
    <t>calle 73 # 7tbII2-38</t>
  </si>
  <si>
    <t>Carera 27 dg 28b -93</t>
  </si>
  <si>
    <t>Calle 72u # 28-47</t>
  </si>
  <si>
    <t>Calle 46c # 5-01</t>
  </si>
  <si>
    <t>Calle 44 # 6n-57</t>
  </si>
  <si>
    <t>Carrera 15 #33b-30</t>
  </si>
  <si>
    <t>Buenaventura</t>
  </si>
  <si>
    <t>Casablanca</t>
  </si>
  <si>
    <t>calle 3 # 18-42</t>
  </si>
  <si>
    <t>carrera 6 # 4a-54</t>
  </si>
  <si>
    <t>Marques 3años Botella + Can Agte  - Marques 3años Botella  + Can Marques 3años -Marques Bot 3años P2 x 3 - Marques Can P2 X3 - Marques 8años + Can 3 años</t>
  </si>
  <si>
    <t>Calle 14 # 15 - 13</t>
  </si>
  <si>
    <t xml:space="preserve">Cartago </t>
  </si>
  <si>
    <t>Marques 3años Botella + Can Agte  - Marques 3años Botella  + Can Marques 3años -Marques Bot 3años P2 x 3 - Marques Can P2 X3 - Marques 8años + Can 3 años - shot x Bot s,a - 2shock por Garrafa</t>
  </si>
  <si>
    <t>Marques 3años Botella + Can Agte  - Marques 3años Botella + Can Marques 3años - Marques Can P2 X3 - shock x Bot s,a - 2shot por Garrafa</t>
  </si>
  <si>
    <t>Marques 3años Botella + Can Agte  - Marques 3años Botella  + Can Marques 3años -Marques Bot 3años P2 x 3 - Marques Can P2 X3 - Marques 8años + Can 3 años - shot x Bot s,a - 2shot por Garrafa</t>
  </si>
  <si>
    <t>Carrera 4 # 19-38</t>
  </si>
  <si>
    <t>Zarzal</t>
  </si>
  <si>
    <t>Cigarrería La Andina</t>
  </si>
  <si>
    <t>Calle 9 # 8 - 76</t>
  </si>
  <si>
    <t>Licores Raulette</t>
  </si>
  <si>
    <t>Carrera 4 # 11-30</t>
  </si>
  <si>
    <t>Estanquillo La 16</t>
  </si>
  <si>
    <t>Carrera 16 # 17 - 44</t>
  </si>
  <si>
    <t>Roldanillo</t>
  </si>
  <si>
    <t>Estanquillo Muñoz</t>
  </si>
  <si>
    <t>Calle 8 # 7 - 67</t>
  </si>
  <si>
    <t>Comercializadora Don Jimmy</t>
  </si>
  <si>
    <t>Carrera / # 11-51</t>
  </si>
  <si>
    <t>Alcalá</t>
  </si>
  <si>
    <t>Distribuciones El Imán</t>
  </si>
  <si>
    <t>Calle 5 # 8-36</t>
  </si>
  <si>
    <t>Saloon Licores</t>
  </si>
  <si>
    <t>Calle 10 # 15 - 20</t>
  </si>
  <si>
    <t>Carrera 24 # 36 - 04</t>
  </si>
  <si>
    <t>Carrera 23 # 29-04</t>
  </si>
  <si>
    <t>Carrera 22 Calle 28</t>
  </si>
  <si>
    <t>Calle 28 # 22-56</t>
  </si>
  <si>
    <t>Calle 29 # 22-36</t>
  </si>
  <si>
    <t>Calle 9 # 12 - 10</t>
  </si>
  <si>
    <t>Carrera 5 # 12 - 67</t>
  </si>
  <si>
    <t>Carrera 22 Calle 29</t>
  </si>
  <si>
    <t>Calle 25 # 26-15</t>
  </si>
  <si>
    <t>Carrera 19 # 19-22</t>
  </si>
  <si>
    <t>Calle 5 Parque Principal</t>
  </si>
  <si>
    <t>Calle 34 Carrera 34</t>
  </si>
  <si>
    <t>Transv 12 # 24-46</t>
  </si>
  <si>
    <t>Calle 4 # 6 - 06</t>
  </si>
  <si>
    <t>Calle 10 # 9A- 29</t>
  </si>
  <si>
    <t>Carrera 7 # 4 - 80</t>
  </si>
  <si>
    <t>Palmira</t>
  </si>
  <si>
    <t xml:space="preserve">Licores Palmira </t>
  </si>
  <si>
    <t>Calle 31 # 37 - 56</t>
  </si>
  <si>
    <t>El Placer</t>
  </si>
  <si>
    <t>Granero Los Paisas</t>
  </si>
  <si>
    <t>Carrera 8 # 6 -12</t>
  </si>
  <si>
    <t>Estanco Punto Blanco</t>
  </si>
  <si>
    <t>Calle 7 # 12 - 08</t>
  </si>
  <si>
    <t>Pradera</t>
  </si>
  <si>
    <t>El Barril de la 6</t>
  </si>
  <si>
    <t>Calle 6 # 11-03</t>
  </si>
  <si>
    <t>Mercapava</t>
  </si>
  <si>
    <t>Calle 7 # 9-59</t>
  </si>
  <si>
    <t xml:space="preserve">Candelaria </t>
  </si>
  <si>
    <t>Estanco y Dulcería Los Paisas</t>
  </si>
  <si>
    <t>Carrera 7 # 4-80</t>
  </si>
  <si>
    <t>Florida</t>
  </si>
  <si>
    <t>Distribuidora Cordillera Central</t>
  </si>
  <si>
    <t>Carrera 14 # 8 - 61</t>
  </si>
  <si>
    <t>Supermercado La Gran Colombia</t>
  </si>
  <si>
    <t>Carrera 28 # 66A - 86</t>
  </si>
  <si>
    <t>SuperInter La Cometa</t>
  </si>
  <si>
    <t>Carrera 19 # 42A - 23</t>
  </si>
  <si>
    <t>SuperInter Centro</t>
  </si>
  <si>
    <t>Calle31 #  27 - 37</t>
  </si>
  <si>
    <t xml:space="preserve">Olimpica Versalles </t>
  </si>
  <si>
    <t>Calle 42 # 28 Esquina</t>
  </si>
  <si>
    <t>Marques 3años Botella + Can Agte  - Marques 3años Botella  + Can Marques 3años -Marques Bot 3años P2 x 3 - Marques Can P2 X3 -</t>
  </si>
  <si>
    <t>Carrera 82 #5-97</t>
  </si>
  <si>
    <t>Sector alabama la buitrera</t>
  </si>
  <si>
    <t>Polvorines vía ppal</t>
  </si>
  <si>
    <t>Carrera 39 #46-10</t>
  </si>
  <si>
    <t xml:space="preserve"> Carrera 25 #19-02</t>
  </si>
  <si>
    <t>Calle 7 #31-09</t>
  </si>
  <si>
    <t>Carrera 26 u #122=94</t>
  </si>
  <si>
    <t xml:space="preserve"> Carrera 25 c # 123-01</t>
  </si>
  <si>
    <t xml:space="preserve"> Carrera 26L 123 06</t>
  </si>
  <si>
    <t>Carrera 4 A #60 - 82</t>
  </si>
  <si>
    <t xml:space="preserve"> Carrera 95 # 3-20</t>
  </si>
  <si>
    <t>Carrera 94 A  # 2 A 102</t>
  </si>
  <si>
    <t>Supertienda Carvajal</t>
  </si>
  <si>
    <t>Calle 13 # 34 - 33</t>
  </si>
  <si>
    <t>Calle 44 #5-26</t>
  </si>
  <si>
    <t>Cll54#47-05</t>
  </si>
  <si>
    <t>CL 72B# 28D3- 123</t>
  </si>
  <si>
    <t>CL 50# 28 A 28</t>
  </si>
  <si>
    <t>Kra 24# 43 65</t>
  </si>
  <si>
    <t>Kra 27 # 33 E 39</t>
  </si>
  <si>
    <t>Cl 76A # 1D 03</t>
  </si>
  <si>
    <t>Kra 1D  # 74  25</t>
  </si>
  <si>
    <t>Kra 1 kn # 80 74</t>
  </si>
  <si>
    <t>CL 14A 53 03</t>
  </si>
  <si>
    <t xml:space="preserve">Carrera 4 #9-09 </t>
  </si>
  <si>
    <t>Kra 44 # 18 32</t>
  </si>
  <si>
    <t>Calle 22 con carrera 41 oeste, manzana 30 casa 24,</t>
  </si>
  <si>
    <t>CR 23 12.ª 03</t>
  </si>
  <si>
    <t>Cll 9e 22a12</t>
  </si>
  <si>
    <t>Cll 112 27g 24</t>
  </si>
  <si>
    <t>CR 43.ª 56b07</t>
  </si>
  <si>
    <t>CR 31.ª 34 02</t>
  </si>
  <si>
    <t>Cll 27 29b 18</t>
  </si>
  <si>
    <t>CR 25b 25 05</t>
  </si>
  <si>
    <t>Cra 1b1 58.ª 09</t>
  </si>
  <si>
    <t>Cll 66 1bis 70</t>
  </si>
  <si>
    <t>Cra 1c4  64A 14  bloque 15</t>
  </si>
  <si>
    <t>Mz D casa 24 sector  la sirena</t>
  </si>
  <si>
    <t xml:space="preserve">Cra 56 1.ª 16 oeste </t>
  </si>
  <si>
    <t>Cra 55 6a09</t>
  </si>
  <si>
    <t>Cra 39 2 37</t>
  </si>
  <si>
    <t>Dg 50 oeste 5 119</t>
  </si>
  <si>
    <t>Cra 54  cll1d esquina</t>
  </si>
  <si>
    <t>Dg 51 #4oeste 47</t>
  </si>
  <si>
    <t xml:space="preserve">Cll 1oeste #52-380 </t>
  </si>
  <si>
    <t>CR 49A # 43-85</t>
  </si>
  <si>
    <t>CLL 46 # 49-03</t>
  </si>
  <si>
    <t>CLL 83C # 20-74</t>
  </si>
  <si>
    <t>CLL 81A # 22-134</t>
  </si>
  <si>
    <t>CR 34 # 26A-03</t>
  </si>
  <si>
    <t>CLL 26A # 38-09</t>
  </si>
  <si>
    <t>CR 7N # 67N-42</t>
  </si>
  <si>
    <t>AV 3 E # 47C-20</t>
  </si>
  <si>
    <t>CLL 44N # 3-111</t>
  </si>
  <si>
    <t>CLL 27 # 41C-37</t>
  </si>
  <si>
    <t>CR 67 # 1A 0STE 07</t>
  </si>
  <si>
    <t>CLL1 #69-44</t>
  </si>
  <si>
    <t>CLL 34 # 25A-03</t>
  </si>
  <si>
    <t>CL 12 OESTE #36-42</t>
  </si>
  <si>
    <t>MANZANA 28 CASA 22-05</t>
  </si>
  <si>
    <t>CL 10 # 18-61</t>
  </si>
  <si>
    <t xml:space="preserve">Marques 3años Botella + Can Agte   -Marques Bot 3años P2 x 3 </t>
  </si>
  <si>
    <t>Marques 3años Botella + Can Agte  - Marques 3años Botella  + Can Marques 3años - Marques Can P2 X3</t>
  </si>
  <si>
    <t xml:space="preserve">Botella $36.000, Marques 3años Botella + Can Agte </t>
  </si>
  <si>
    <t>Marques 3años Botella + Can Agte   -Marques Bot 3años P2 x 3  - Marques 8años + Can 3 años</t>
  </si>
  <si>
    <t>Aliados Red de la Alegría</t>
  </si>
  <si>
    <t xml:space="preserve">Canal </t>
  </si>
  <si>
    <t>Responsable</t>
  </si>
  <si>
    <t>Supermercado</t>
  </si>
  <si>
    <t>Licorera</t>
  </si>
  <si>
    <t>Katherine Rengifo</t>
  </si>
  <si>
    <t>Edwin Polanco</t>
  </si>
  <si>
    <t>Los Panchos</t>
  </si>
  <si>
    <t xml:space="preserve">Mayorista </t>
  </si>
  <si>
    <t>Lina Colonia</t>
  </si>
  <si>
    <t>TAT</t>
  </si>
  <si>
    <t>Jhon Jairo Ortiz</t>
  </si>
  <si>
    <t>Jhenny Romero</t>
  </si>
  <si>
    <t>Mayorista</t>
  </si>
  <si>
    <t>Depósito La Ganga</t>
  </si>
  <si>
    <t>Villa del Lago</t>
  </si>
  <si>
    <t>Uds Sem 1</t>
  </si>
  <si>
    <t>Uds Sem 2</t>
  </si>
  <si>
    <t>Uds Sem 3</t>
  </si>
  <si>
    <t>Uds Sem 4</t>
  </si>
  <si>
    <t>Uds Sem 5</t>
  </si>
  <si>
    <t>Uds Sem 6</t>
  </si>
  <si>
    <t>Red Aliados de la Alegría</t>
  </si>
  <si>
    <t>Aliados</t>
  </si>
  <si>
    <t>Zona</t>
  </si>
  <si>
    <t># Aliados</t>
  </si>
  <si>
    <t>Mayoristas</t>
  </si>
  <si>
    <t>BuenaVentura</t>
  </si>
  <si>
    <t xml:space="preserve">Mayoristas </t>
  </si>
  <si>
    <t xml:space="preserve">Lider Cadenas </t>
  </si>
  <si>
    <t>Lider Mayorista</t>
  </si>
  <si>
    <t>Lider Zona</t>
  </si>
  <si>
    <t xml:space="preserve">Equipo </t>
  </si>
  <si>
    <t>Líder Zona</t>
  </si>
  <si>
    <t>Norte</t>
  </si>
  <si>
    <t>Centro</t>
  </si>
  <si>
    <t xml:space="preserve">Licorera </t>
  </si>
  <si>
    <t>Lider TAT</t>
  </si>
  <si>
    <t>Total</t>
  </si>
  <si>
    <t xml:space="preserve">Supermercados </t>
  </si>
  <si>
    <t>Licoreras</t>
  </si>
  <si>
    <t>Celuar</t>
  </si>
  <si>
    <t>Ana Rosa Lopera</t>
  </si>
  <si>
    <t>Henry Arbelaez</t>
  </si>
  <si>
    <t>Distri Jota SAS</t>
  </si>
  <si>
    <t>(2) 224 9488</t>
  </si>
  <si>
    <t>Calle 29 # 22-23</t>
  </si>
  <si>
    <t>(2) 225 7742</t>
  </si>
  <si>
    <t>Restrepo</t>
  </si>
  <si>
    <t>318 369 2722</t>
  </si>
  <si>
    <t>317 513 4129</t>
  </si>
  <si>
    <t>316 714 2019</t>
  </si>
  <si>
    <t>321 482 7231</t>
  </si>
  <si>
    <t>(2) 227 1824</t>
  </si>
  <si>
    <t>Carrera 22 # 28 - 49</t>
  </si>
  <si>
    <t>Carrera 22 # 29A - 04</t>
  </si>
  <si>
    <t>Calle 4 # 6-06</t>
  </si>
  <si>
    <t>Carrera 10 # 9-50 Plaza de mercado</t>
  </si>
  <si>
    <t>Calle 21 # 12-59</t>
  </si>
  <si>
    <t xml:space="preserve">Cacharrería yDist. JM </t>
  </si>
  <si>
    <t>Almacén Ossa</t>
  </si>
  <si>
    <t xml:space="preserve">Los Paisas  </t>
  </si>
  <si>
    <t xml:space="preserve">Depóstito El Triunfo </t>
  </si>
  <si>
    <t>Licores La Cuarta</t>
  </si>
  <si>
    <t>2859975-3218677680</t>
  </si>
  <si>
    <t>3173171258-2548145</t>
  </si>
  <si>
    <t>3163471484-2670572-3187944106</t>
  </si>
  <si>
    <t xml:space="preserve"> Garces</t>
  </si>
  <si>
    <t>4415918 - 3113078334</t>
  </si>
  <si>
    <t>6560777 - 3153158897</t>
  </si>
  <si>
    <t>3314763 - 3176095207</t>
  </si>
  <si>
    <t xml:space="preserve">Miscelanea La Unión </t>
  </si>
  <si>
    <t>3157030966 - 2836460</t>
  </si>
  <si>
    <t>cra 25 #27-44</t>
  </si>
  <si>
    <t>Nit</t>
  </si>
  <si>
    <t>ENCUESTA_ID</t>
  </si>
  <si>
    <t>ASESOR_ID</t>
  </si>
  <si>
    <t>CODIGO_CLIENTE</t>
  </si>
  <si>
    <t>FECHA_INICIO</t>
  </si>
  <si>
    <t>Fecha</t>
  </si>
  <si>
    <t>Semana</t>
  </si>
  <si>
    <t>DE 30.000 A 50.000</t>
  </si>
  <si>
    <t>DE 50.001 A 100.000</t>
  </si>
  <si>
    <t>DE 100.001 A 300.000</t>
  </si>
  <si>
    <t>DE 300.001 EN ADELANTE</t>
  </si>
  <si>
    <t>A126-253</t>
  </si>
  <si>
    <t>DBL55</t>
  </si>
  <si>
    <t>2020/05/11  8:29AM</t>
  </si>
  <si>
    <t>A103-557</t>
  </si>
  <si>
    <t>DBL52</t>
  </si>
  <si>
    <t>2020/05/11 10:53AM</t>
  </si>
  <si>
    <t>A109-355</t>
  </si>
  <si>
    <t>DBL54</t>
  </si>
  <si>
    <t>2020/05/11 11:15AM</t>
  </si>
  <si>
    <t>A103-562</t>
  </si>
  <si>
    <t>2020/05/11 11:31AM</t>
  </si>
  <si>
    <t>A118-385</t>
  </si>
  <si>
    <t>DBL53</t>
  </si>
  <si>
    <t>2020/05/09 10:11AM</t>
  </si>
  <si>
    <t>A126-225</t>
  </si>
  <si>
    <t>2020/05/09  1:19PM</t>
  </si>
  <si>
    <t>A114-531</t>
  </si>
  <si>
    <t>DBL50</t>
  </si>
  <si>
    <t>2020/05/08  8:41AM</t>
  </si>
  <si>
    <t>A118-379</t>
  </si>
  <si>
    <t>2020/05/08 11:02AM</t>
  </si>
  <si>
    <t>A114-552</t>
  </si>
  <si>
    <t>2020/05/08  1:55PM</t>
  </si>
  <si>
    <t>A114-554</t>
  </si>
  <si>
    <t>2020/05/08  1:57PM</t>
  </si>
  <si>
    <t>A114-505</t>
  </si>
  <si>
    <t>2020/05/07 10:36AM</t>
  </si>
  <si>
    <t>A109-329</t>
  </si>
  <si>
    <t>2020/05/06 10:52AM</t>
  </si>
  <si>
    <t>A109-290</t>
  </si>
  <si>
    <t>2020/05/05  9:17AM</t>
  </si>
  <si>
    <t>A109-293</t>
  </si>
  <si>
    <t>2020/05/05  9:19AM</t>
  </si>
  <si>
    <t>A109-295</t>
  </si>
  <si>
    <t>2020/05/05  9:25AM</t>
  </si>
  <si>
    <t>A109-297</t>
  </si>
  <si>
    <t>2020/05/05  9:30AM</t>
  </si>
  <si>
    <t>A109-301</t>
  </si>
  <si>
    <t>2020/05/05 10:08AM</t>
  </si>
  <si>
    <t>A109-304</t>
  </si>
  <si>
    <t>2020/05/05 10:26AM</t>
  </si>
  <si>
    <t>A109-306</t>
  </si>
  <si>
    <t>2020/05/05 10:36AM</t>
  </si>
  <si>
    <t>A114-490</t>
  </si>
  <si>
    <t>2020/05/05 10:40AM</t>
  </si>
  <si>
    <t>A109-309</t>
  </si>
  <si>
    <t>2020/05/05 11:32AM</t>
  </si>
  <si>
    <t>A114-496</t>
  </si>
  <si>
    <t>2020/05/05 12:08PM</t>
  </si>
  <si>
    <t>A109-318</t>
  </si>
  <si>
    <t>2020/05/05  1:11PM</t>
  </si>
  <si>
    <t>A109-320</t>
  </si>
  <si>
    <t>2020/05/05  1:19PM</t>
  </si>
  <si>
    <t>A109-322</t>
  </si>
  <si>
    <t>2020/05/05  1:30PM</t>
  </si>
  <si>
    <t>A126-63</t>
  </si>
  <si>
    <t>2020/05/04  8:12AM</t>
  </si>
  <si>
    <t>A118-300</t>
  </si>
  <si>
    <t>2020/05/04  8:27AM</t>
  </si>
  <si>
    <t>A118-303</t>
  </si>
  <si>
    <t>2020/05/04  8:35AM</t>
  </si>
  <si>
    <t>A125-88</t>
  </si>
  <si>
    <t>DBL51</t>
  </si>
  <si>
    <t>A126-67</t>
  </si>
  <si>
    <t>2020/05/04  8:36AM</t>
  </si>
  <si>
    <t>A125-90</t>
  </si>
  <si>
    <t>2020/05/04  8:37AM</t>
  </si>
  <si>
    <t>A125-92</t>
  </si>
  <si>
    <t>2020/05/04  8:39AM</t>
  </si>
  <si>
    <t>A125-94</t>
  </si>
  <si>
    <t>2020/05/04  8:42AM</t>
  </si>
  <si>
    <t>A118-306</t>
  </si>
  <si>
    <t>2020/05/04  8:48AM</t>
  </si>
  <si>
    <t>A125-97</t>
  </si>
  <si>
    <t>2020/05/04  8:50AM</t>
  </si>
  <si>
    <t>A106-348</t>
  </si>
  <si>
    <t>DBL58</t>
  </si>
  <si>
    <t>2020/05/04  8:55AM</t>
  </si>
  <si>
    <t>A109-254</t>
  </si>
  <si>
    <t>2020/05/04  8:57AM</t>
  </si>
  <si>
    <t>A114-445</t>
  </si>
  <si>
    <t>2020/05/04  9:22AM</t>
  </si>
  <si>
    <t>A106-356</t>
  </si>
  <si>
    <t>2020/05/04  9:29AM</t>
  </si>
  <si>
    <t>A118-313</t>
  </si>
  <si>
    <t>2020/05/04  9:49AM</t>
  </si>
  <si>
    <t>A109-261</t>
  </si>
  <si>
    <t>2020/05/04 10:02AM</t>
  </si>
  <si>
    <t>A118-316</t>
  </si>
  <si>
    <t>2020/05/04 10:20AM</t>
  </si>
  <si>
    <t>A109-264</t>
  </si>
  <si>
    <t>2020/05/04 10:57AM</t>
  </si>
  <si>
    <t>A118-320</t>
  </si>
  <si>
    <t>2020/05/04 11:03AM</t>
  </si>
  <si>
    <t>A114-458</t>
  </si>
  <si>
    <t>2020/05/04 11:24AM</t>
  </si>
  <si>
    <t>A109-267</t>
  </si>
  <si>
    <t>2020/05/04 11:38AM</t>
  </si>
  <si>
    <t>A114-461</t>
  </si>
  <si>
    <t>2020/05/04 11:43AM</t>
  </si>
  <si>
    <t>A118-327</t>
  </si>
  <si>
    <t>2020/05/04 11:49AM</t>
  </si>
  <si>
    <t>A114-467</t>
  </si>
  <si>
    <t>2020/05/04 12:24PM</t>
  </si>
  <si>
    <t>A125-115</t>
  </si>
  <si>
    <t>2020/05/04 12:27PM</t>
  </si>
  <si>
    <t>A118-334</t>
  </si>
  <si>
    <t>2020/05/04 12:42PM</t>
  </si>
  <si>
    <t>A109-273</t>
  </si>
  <si>
    <t>2020/05/04 12:55PM</t>
  </si>
  <si>
    <t>A103-521</t>
  </si>
  <si>
    <t>2020/05/04  1:33PM</t>
  </si>
  <si>
    <t>A126-81</t>
  </si>
  <si>
    <t>2020/05/04  1:35PM</t>
  </si>
  <si>
    <t>A114-478</t>
  </si>
  <si>
    <t>2020/05/04  1:38PM</t>
  </si>
  <si>
    <t>A118-338</t>
  </si>
  <si>
    <t>2020/05/04  1:48PM</t>
  </si>
  <si>
    <t>A109-277</t>
  </si>
  <si>
    <t>2020/05/04  2:00PM</t>
  </si>
  <si>
    <t>A109-279</t>
  </si>
  <si>
    <t>2020/05/04  2:04PM</t>
  </si>
  <si>
    <t>A109-282</t>
  </si>
  <si>
    <t>2020/05/04  2:24PM</t>
  </si>
  <si>
    <t>A114-486</t>
  </si>
  <si>
    <t>2020/05/04  3:07PM</t>
  </si>
  <si>
    <t>A106-386</t>
  </si>
  <si>
    <t>2020/05/04  3:15PM</t>
  </si>
  <si>
    <t>A126-39</t>
  </si>
  <si>
    <t>2020/05/02  1:10PM</t>
  </si>
  <si>
    <t>A125-51</t>
  </si>
  <si>
    <t>2020/04/29  8:30AM</t>
  </si>
  <si>
    <t>A125-76</t>
  </si>
  <si>
    <t>2020/04/29 12:13PM</t>
  </si>
  <si>
    <t>A125-4</t>
  </si>
  <si>
    <t>2020/04/28  8:20AM</t>
  </si>
  <si>
    <t>A118-251</t>
  </si>
  <si>
    <t>2020/04/28  8:26AM</t>
  </si>
  <si>
    <t>A116-244</t>
  </si>
  <si>
    <t>DBL56</t>
  </si>
  <si>
    <t>2020/04/28  8:51AM</t>
  </si>
  <si>
    <t>A116-245</t>
  </si>
  <si>
    <t>2020/04/28  8:52AM</t>
  </si>
  <si>
    <t>A118-254</t>
  </si>
  <si>
    <t>2020/04/28  9:04AM</t>
  </si>
  <si>
    <t>A116-246</t>
  </si>
  <si>
    <t>2020/04/28  9:24AM</t>
  </si>
  <si>
    <t>A116-247</t>
  </si>
  <si>
    <t>A116-248</t>
  </si>
  <si>
    <t>A116-249</t>
  </si>
  <si>
    <t>A116-250</t>
  </si>
  <si>
    <t>2020/04/28  9:27AM</t>
  </si>
  <si>
    <t>A118-258</t>
  </si>
  <si>
    <t>2020/04/28  9:41AM</t>
  </si>
  <si>
    <t>A118-260</t>
  </si>
  <si>
    <t>2020/04/28  9:54AM</t>
  </si>
  <si>
    <t>A118-265</t>
  </si>
  <si>
    <t>2020/04/28 11:08AM</t>
  </si>
  <si>
    <t>A118-266</t>
  </si>
  <si>
    <t>2020/04/28 11:26AM</t>
  </si>
  <si>
    <t>A103-454</t>
  </si>
  <si>
    <t>2020/04/28 12:46PM</t>
  </si>
  <si>
    <t>A118-271</t>
  </si>
  <si>
    <t>A114-368</t>
  </si>
  <si>
    <t>2020/04/28 12:51PM</t>
  </si>
  <si>
    <t>A123-303</t>
  </si>
  <si>
    <t>2020/04/28  1:06PM</t>
  </si>
  <si>
    <t>A103-458</t>
  </si>
  <si>
    <t>2020/04/28  1:12PM</t>
  </si>
  <si>
    <t>A118-274</t>
  </si>
  <si>
    <t>2020/04/28  1:18PM</t>
  </si>
  <si>
    <t>Etiquetas de fila</t>
  </si>
  <si>
    <t>Total general</t>
  </si>
  <si>
    <t>Etiquetas de columna</t>
  </si>
  <si>
    <t>(en blanco)</t>
  </si>
  <si>
    <t>Suma de Total</t>
  </si>
  <si>
    <t>ok</t>
  </si>
  <si>
    <t>Volumen en unidades de 750cc</t>
  </si>
  <si>
    <t>Observación</t>
  </si>
  <si>
    <t>Luz marina zuluaga</t>
  </si>
  <si>
    <t>Ramon giraldo</t>
  </si>
  <si>
    <t>Victor mosquera</t>
  </si>
  <si>
    <t>Doly hortencia</t>
  </si>
  <si>
    <t>Jonny salazar giraldo</t>
  </si>
  <si>
    <t>Carlos alberto lopez</t>
  </si>
  <si>
    <t>Yakeline ospina</t>
  </si>
  <si>
    <t>Jaime ocampo valencia</t>
  </si>
  <si>
    <t>Jesus antonio barles</t>
  </si>
  <si>
    <t>Ciro solis</t>
  </si>
  <si>
    <t>Jaime jaramillo</t>
  </si>
  <si>
    <t>Olga pelaez</t>
  </si>
  <si>
    <t>Alba nora</t>
  </si>
  <si>
    <t>Diliana españa</t>
  </si>
  <si>
    <t>Supermercado aranjuez</t>
  </si>
  <si>
    <t>Licores sarasty</t>
  </si>
  <si>
    <t>Licores  baratillo</t>
  </si>
  <si>
    <t>Giovanny duque</t>
  </si>
  <si>
    <t>Dulceria y licores JL</t>
  </si>
  <si>
    <t>AV 15 OESTE # 7 03</t>
  </si>
  <si>
    <t>CLL 12 OESTE # 39-06</t>
  </si>
  <si>
    <t>CL 72A # 7B BIS 09</t>
  </si>
  <si>
    <t>CR 40A # 9C 20</t>
  </si>
  <si>
    <t>CLL 13 # 47 04</t>
  </si>
  <si>
    <t>CR 47A # 10-83</t>
  </si>
  <si>
    <t>CLL 52A # 29B 17</t>
  </si>
  <si>
    <t>CLL 51 # 29A 118</t>
  </si>
  <si>
    <t>CR 32A # 51A 20</t>
  </si>
  <si>
    <t>CR 29B # 46 00</t>
  </si>
  <si>
    <t>CR 29 B # 40 99</t>
  </si>
  <si>
    <t>CLL 49# 8A 23</t>
  </si>
  <si>
    <t>CLL 71C # 3BN 70</t>
  </si>
  <si>
    <t>CLL 45 # 98A 28</t>
  </si>
  <si>
    <t>CR 83C # 48 223</t>
  </si>
  <si>
    <t>CR 23 15B 44</t>
  </si>
  <si>
    <t>CLL 58A 1B 06</t>
  </si>
  <si>
    <t>CR 26U # 122 94</t>
  </si>
  <si>
    <t>CLL 11 # 8 19</t>
  </si>
  <si>
    <t>Activo</t>
  </si>
  <si>
    <t>SI</t>
  </si>
  <si>
    <t>NO</t>
  </si>
  <si>
    <t>miscelanea San Agustin</t>
  </si>
  <si>
    <t xml:space="preserve">Estanco Luz </t>
  </si>
  <si>
    <t>Comercializadora La Berraquera</t>
  </si>
  <si>
    <t>Marques 3 años + caneca agte-marques botella pague 2 lleve 3 - marques caneca 3 años pague 2 lleve 3</t>
  </si>
  <si>
    <t>oferta ron marques 3 años + caneca de aguardiente</t>
  </si>
  <si>
    <t>Cra 28 # 35 - 43</t>
  </si>
  <si>
    <t>Calle 4 # 3 - 58</t>
  </si>
  <si>
    <t>Calle 16 # 10 - 16</t>
  </si>
  <si>
    <t>Licores La 21</t>
  </si>
  <si>
    <t>316 7156198</t>
  </si>
  <si>
    <t>Calle 21 # 13 - 04</t>
  </si>
  <si>
    <t>Ginebra</t>
  </si>
  <si>
    <t>Villagorgona</t>
  </si>
  <si>
    <t>Unidades</t>
  </si>
  <si>
    <t>Parques</t>
  </si>
  <si>
    <t>Pirinola</t>
  </si>
  <si>
    <t xml:space="preserve">Partiipación </t>
  </si>
  <si>
    <t xml:space="preserve">Asignación </t>
  </si>
  <si>
    <t>Asignación</t>
  </si>
  <si>
    <t>Escalera</t>
  </si>
  <si>
    <t>Participacion</t>
  </si>
  <si>
    <t>Uds Sem 7</t>
  </si>
  <si>
    <t>Miriam Mejia</t>
  </si>
  <si>
    <t>Licores Estambul</t>
  </si>
  <si>
    <t>Shot</t>
  </si>
  <si>
    <t>Calle 11 # 11-18</t>
  </si>
  <si>
    <t>316 6154526</t>
  </si>
  <si>
    <t>Shots</t>
  </si>
  <si>
    <t>Vasos RMV 8 años</t>
  </si>
  <si>
    <t>Uds Sem 8</t>
  </si>
  <si>
    <t>Uds Sem 9</t>
  </si>
  <si>
    <t>Vol Sem 1</t>
  </si>
  <si>
    <t>Vol Sem 2</t>
  </si>
  <si>
    <t>Vol Sem 3</t>
  </si>
  <si>
    <t>Vol Sem 4</t>
  </si>
  <si>
    <t>Vol Sem 5</t>
  </si>
  <si>
    <t>Vol Sem 6</t>
  </si>
  <si>
    <t>Vol Sem 7</t>
  </si>
  <si>
    <t>Vol Sem 8</t>
  </si>
  <si>
    <t>Uds  750cc S2</t>
  </si>
  <si>
    <t>Uds  750cc S1</t>
  </si>
  <si>
    <t>Uds  750cc S3</t>
  </si>
  <si>
    <t>Uds  750cc S4</t>
  </si>
  <si>
    <t>Uds  750cc S5</t>
  </si>
  <si>
    <t>Uds  750cc S6</t>
  </si>
  <si>
    <t>Uds  750cc S7</t>
  </si>
  <si>
    <t>Uds  750cc S8</t>
  </si>
  <si>
    <t>Distrikopas</t>
  </si>
  <si>
    <t xml:space="preserve">La Paila </t>
  </si>
  <si>
    <t>Miscelanea Melany</t>
  </si>
  <si>
    <t>Rapitienda Ruta del Café</t>
  </si>
  <si>
    <t>Carrera 4 # 12-61</t>
  </si>
  <si>
    <t>Carrera 8 # 5-17</t>
  </si>
  <si>
    <t>Vol Sem 9</t>
  </si>
  <si>
    <t>Uds  750cc S9</t>
  </si>
  <si>
    <t>Uds Sem 10</t>
  </si>
  <si>
    <t>Vol Sem 10</t>
  </si>
  <si>
    <t>Uds  750cc S10</t>
  </si>
  <si>
    <t>Uds Sem 11</t>
  </si>
  <si>
    <t>Vol Sem 11</t>
  </si>
  <si>
    <t>Uds  750cc S11</t>
  </si>
  <si>
    <t>Uds Sem 12</t>
  </si>
  <si>
    <t>Vol Sem 12</t>
  </si>
  <si>
    <t>Uds  750cc S12</t>
  </si>
  <si>
    <t>Uds Sem 13</t>
  </si>
  <si>
    <t xml:space="preserve">Autoservicio Monterrey </t>
  </si>
  <si>
    <t xml:space="preserve">Tienda y Licores Alejo </t>
  </si>
  <si>
    <t xml:space="preserve">Arnaldo Monte. Super Tienda la sorpresa </t>
  </si>
  <si>
    <t xml:space="preserve">Carlos Gonzales Supermerke valle del lili </t>
  </si>
  <si>
    <t xml:space="preserve">comercialziadora el gangazo </t>
  </si>
  <si>
    <t xml:space="preserve">Duque Garcia alirio - Tienda Mixta </t>
  </si>
  <si>
    <t>Edgar Andres Bedoya cano - Licores la 22</t>
  </si>
  <si>
    <t>Torres jirafa alonso de jesus - Tienda la 75</t>
  </si>
  <si>
    <t xml:space="preserve">Lopez Yepes Juan franciso - Miscelanea Yepes </t>
  </si>
  <si>
    <t xml:space="preserve">Daza Mercado eviliana - Tienda mixta </t>
  </si>
  <si>
    <t xml:space="preserve">Cocha Aide - Licores Dila </t>
  </si>
  <si>
    <t xml:space="preserve">Jurado Guzman Carlos Andres - Tienda la Mona </t>
  </si>
  <si>
    <t xml:space="preserve">Widelmar mafla - Tienda la Familia </t>
  </si>
  <si>
    <t>Robledo Garcia Lina Maria Licores JM</t>
  </si>
  <si>
    <t xml:space="preserve">Nlfy Fonseca Polo </t>
  </si>
  <si>
    <t>Carrera 27 # 96- 259</t>
  </si>
  <si>
    <t>Cra 1a5 - # 76 -05</t>
  </si>
  <si>
    <t xml:space="preserve">cra 15 # 35 -19 </t>
  </si>
  <si>
    <t xml:space="preserve">cra 91 # 42 - 111 </t>
  </si>
  <si>
    <t xml:space="preserve">calle 23 # 11- 03 </t>
  </si>
  <si>
    <t>cra 42 # 26 b 68</t>
  </si>
  <si>
    <t>cra 22 # 1 - 44</t>
  </si>
  <si>
    <t xml:space="preserve">cra 75 # 1bis 45oeste </t>
  </si>
  <si>
    <t xml:space="preserve">cra 70  # 2b - 06 </t>
  </si>
  <si>
    <t xml:space="preserve">Av 7 n # 53 -01 </t>
  </si>
  <si>
    <t>calle 102g - # 23 - 100</t>
  </si>
  <si>
    <t>calle 10 oeste #2a - 16</t>
  </si>
  <si>
    <t xml:space="preserve">cra 3a 0este # 9- 270 </t>
  </si>
  <si>
    <t xml:space="preserve">CRA 13 #5-23 </t>
  </si>
  <si>
    <t xml:space="preserve">cra 6 N 42 a  03 </t>
  </si>
  <si>
    <t>Vol Sem 13</t>
  </si>
  <si>
    <t>Uds  750cc S13</t>
  </si>
  <si>
    <t>NUEVO</t>
  </si>
  <si>
    <t>Licores VIP</t>
  </si>
  <si>
    <t>Calle 40 # 24 - 78</t>
  </si>
  <si>
    <t>Uds Sem 14</t>
  </si>
  <si>
    <t>Vol Sem 14</t>
  </si>
  <si>
    <t>Uds  750cc S14</t>
  </si>
  <si>
    <t>Vol Sem 15</t>
  </si>
  <si>
    <t>Uds Sem 15</t>
  </si>
  <si>
    <t>Uds  750cc S15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</si>
</sst>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2" xfId="0" applyFill="1" applyBorder="1"/>
    <xf numFmtId="41" fontId="0" fillId="2" borderId="0" xfId="1" applyFont="1" applyFill="1" applyBorder="1"/>
    <xf numFmtId="0" fontId="0" fillId="2" borderId="11" xfId="0" applyFill="1" applyBorder="1"/>
    <xf numFmtId="0" fontId="0" fillId="2" borderId="14" xfId="0" applyFill="1" applyBorder="1"/>
    <xf numFmtId="41" fontId="0" fillId="2" borderId="14" xfId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3" xfId="0" applyFont="1" applyFill="1" applyBorder="1"/>
    <xf numFmtId="41" fontId="2" fillId="7" borderId="1" xfId="1" applyFont="1" applyFill="1" applyBorder="1"/>
    <xf numFmtId="41" fontId="2" fillId="7" borderId="3" xfId="1" applyFont="1" applyFill="1" applyBorder="1"/>
    <xf numFmtId="0" fontId="2" fillId="7" borderId="1" xfId="0" applyFont="1" applyFill="1" applyBorder="1"/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4" xfId="0" applyFont="1" applyFill="1" applyBorder="1" applyAlignment="1">
      <alignment horizontal="center"/>
    </xf>
    <xf numFmtId="41" fontId="0" fillId="2" borderId="14" xfId="0" applyNumberFormat="1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9" xfId="0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6" fillId="6" borderId="9" xfId="0" applyFont="1" applyFill="1" applyBorder="1"/>
    <xf numFmtId="0" fontId="6" fillId="6" borderId="8" xfId="0" applyFont="1" applyFill="1" applyBorder="1"/>
    <xf numFmtId="0" fontId="6" fillId="6" borderId="10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2" fillId="4" borderId="4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6" borderId="0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41" fontId="0" fillId="2" borderId="0" xfId="1" applyFont="1" applyFill="1"/>
    <xf numFmtId="9" fontId="0" fillId="2" borderId="0" xfId="3" applyFont="1" applyFill="1"/>
    <xf numFmtId="0" fontId="2" fillId="4" borderId="22" xfId="0" applyFont="1" applyFill="1" applyBorder="1" applyAlignment="1">
      <alignment horizontal="center"/>
    </xf>
    <xf numFmtId="41" fontId="0" fillId="2" borderId="23" xfId="1" applyFont="1" applyFill="1" applyBorder="1"/>
    <xf numFmtId="41" fontId="0" fillId="2" borderId="24" xfId="1" applyFont="1" applyFill="1" applyBorder="1"/>
    <xf numFmtId="41" fontId="0" fillId="2" borderId="24" xfId="0" applyNumberFormat="1" applyFill="1" applyBorder="1"/>
    <xf numFmtId="10" fontId="0" fillId="2" borderId="25" xfId="3" applyNumberFormat="1" applyFont="1" applyFill="1" applyBorder="1"/>
    <xf numFmtId="41" fontId="0" fillId="2" borderId="25" xfId="1" applyFont="1" applyFill="1" applyBorder="1"/>
    <xf numFmtId="0" fontId="0" fillId="2" borderId="25" xfId="0" applyFill="1" applyBorder="1"/>
    <xf numFmtId="0" fontId="1" fillId="3" borderId="0" xfId="0" applyFont="1" applyFill="1"/>
    <xf numFmtId="0" fontId="1" fillId="9" borderId="22" xfId="0" applyFont="1" applyFill="1" applyBorder="1" applyAlignment="1">
      <alignment horizontal="center"/>
    </xf>
    <xf numFmtId="0" fontId="1" fillId="9" borderId="22" xfId="0" applyFont="1" applyFill="1" applyBorder="1"/>
    <xf numFmtId="0" fontId="1" fillId="9" borderId="26" xfId="0" applyFont="1" applyFill="1" applyBorder="1"/>
    <xf numFmtId="41" fontId="1" fillId="9" borderId="22" xfId="1" applyFont="1" applyFill="1" applyBorder="1"/>
    <xf numFmtId="41" fontId="1" fillId="9" borderId="26" xfId="1" applyFont="1" applyFill="1" applyBorder="1"/>
    <xf numFmtId="41" fontId="1" fillId="9" borderId="22" xfId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ill="1"/>
    <xf numFmtId="0" fontId="0" fillId="6" borderId="8" xfId="0" applyFill="1" applyBorder="1"/>
    <xf numFmtId="0" fontId="0" fillId="6" borderId="9" xfId="0" applyFill="1" applyBorder="1"/>
    <xf numFmtId="0" fontId="0" fillId="6" borderId="9" xfId="0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0" fontId="0" fillId="2" borderId="23" xfId="3" applyNumberFormat="1" applyFont="1" applyFill="1" applyBorder="1"/>
    <xf numFmtId="0" fontId="0" fillId="2" borderId="23" xfId="0" applyFill="1" applyBorder="1"/>
    <xf numFmtId="10" fontId="0" fillId="2" borderId="24" xfId="3" applyNumberFormat="1" applyFont="1" applyFill="1" applyBorder="1"/>
    <xf numFmtId="0" fontId="0" fillId="2" borderId="24" xfId="0" applyFill="1" applyBorder="1"/>
    <xf numFmtId="0" fontId="1" fillId="3" borderId="0" xfId="0" applyFont="1" applyFill="1"/>
    <xf numFmtId="0" fontId="0" fillId="8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right"/>
    </xf>
    <xf numFmtId="0" fontId="0" fillId="2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2" borderId="0" xfId="0" applyFont="1" applyFill="1"/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9" fillId="6" borderId="9" xfId="0" applyFont="1" applyFill="1" applyBorder="1"/>
    <xf numFmtId="0" fontId="9" fillId="6" borderId="8" xfId="0" applyFont="1" applyFill="1" applyBorder="1"/>
    <xf numFmtId="0" fontId="9" fillId="6" borderId="10" xfId="0" applyFont="1" applyFill="1" applyBorder="1" applyAlignment="1">
      <alignment horizontal="right"/>
    </xf>
    <xf numFmtId="0" fontId="9" fillId="6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7">
    <cellStyle name="Millares [0]" xfId="1" builtinId="6"/>
    <cellStyle name="Millares [0] 2" xfId="2" xr:uid="{C45C2DBD-BB7C-4247-9774-7731A3C53ABD}"/>
    <cellStyle name="Millares [0] 2 2" xfId="5" xr:uid="{E5505066-9916-4675-8BF1-DF7A2418DA34}"/>
    <cellStyle name="Millares [0] 3" xfId="4" xr:uid="{9B17D241-CE08-43A2-8AC3-37CC3F9B2F15}"/>
    <cellStyle name="Millares [0] 4" xfId="6" xr:uid="{E5C48402-3E88-4E41-8114-9DF7001577E7}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" refreshedDate="43963.683886689818" createdVersion="6" refreshedVersion="6" minRefreshableVersion="3" recordCount="85" xr:uid="{00000000-000A-0000-FFFF-FFFF6A000000}">
  <cacheSource type="worksheet">
    <worksheetSource ref="A1:K1048576" sheet="Encuesta"/>
  </cacheSource>
  <cacheFields count="11">
    <cacheField name="ENCUESTA_ID" numFmtId="0">
      <sharedItems containsBlank="1"/>
    </cacheField>
    <cacheField name="ASESOR_ID" numFmtId="0">
      <sharedItems containsBlank="1"/>
    </cacheField>
    <cacheField name="CODIGO_CLIENTE" numFmtId="0">
      <sharedItems containsString="0" containsBlank="1" containsNumber="1" containsInteger="1" minValue="2685975" maxValue="1151943206" count="84">
        <n v="31971928"/>
        <n v="29655305"/>
        <n v="1143848323"/>
        <n v="10517213"/>
        <n v="3494086"/>
        <n v="67026466"/>
        <n v="14981868"/>
        <n v="24720136"/>
        <n v="31905517"/>
        <n v="1098337533"/>
        <n v="1113068055"/>
        <n v="1143856219"/>
        <n v="29108561"/>
        <n v="1143981647"/>
        <n v="94193276"/>
        <n v="16796483"/>
        <n v="1130656816"/>
        <n v="29185357"/>
        <n v="71142237"/>
        <n v="1118296911"/>
        <n v="42116594"/>
        <n v="43642694"/>
        <n v="29124640"/>
        <n v="9850773"/>
        <n v="29495749"/>
        <n v="31523227"/>
        <n v="1130598374"/>
        <n v="967023320"/>
        <n v="94422261"/>
        <n v="25529383"/>
        <n v="16536358"/>
        <n v="70753695"/>
        <n v="1041328694"/>
        <n v="1024518932"/>
        <n v="43475437"/>
        <n v="1047410654"/>
        <n v="1151943206"/>
        <n v="66978529"/>
        <n v="94417963"/>
        <n v="29122250"/>
        <n v="14998749"/>
        <n v="71371926"/>
        <n v="38684955"/>
        <n v="94071006"/>
        <n v="1144025746"/>
        <n v="10224700"/>
        <n v="94517200"/>
        <n v="94400940"/>
        <n v="901235591"/>
        <n v="1143830559"/>
        <n v="94386842"/>
        <n v="1130590173"/>
        <n v="13644003"/>
        <n v="15429690"/>
        <n v="66993437"/>
        <n v="16545153"/>
        <n v="21873936"/>
        <n v="1130679015"/>
        <n v="38555629"/>
        <n v="6334121"/>
        <n v="16377467"/>
        <n v="38644553"/>
        <n v="1130591583"/>
        <n v="70386383"/>
        <n v="94543390"/>
        <n v="10115498"/>
        <n v="1144073992"/>
        <n v="38989090"/>
        <n v="31263536"/>
        <n v="94506728"/>
        <n v="4653824"/>
        <n v="31483542"/>
        <n v="1032363617"/>
        <n v="9855053"/>
        <n v="4453658"/>
        <n v="31533755"/>
        <n v="67003801"/>
        <n v="67002900"/>
        <n v="1058843345"/>
        <n v="70828284"/>
        <n v="2685975"/>
        <n v="16738410"/>
        <n v="30306298"/>
        <m/>
      </sharedItems>
    </cacheField>
    <cacheField name="FECHA_INICIO" numFmtId="0">
      <sharedItems containsBlank="1"/>
    </cacheField>
    <cacheField name="Fecha" numFmtId="0">
      <sharedItems containsBlank="1"/>
    </cacheField>
    <cacheField name="Semana" numFmtId="0">
      <sharedItems containsString="0" containsBlank="1" containsNumber="1" containsInteger="1" minValue="1" maxValue="3" count="4">
        <n v="1"/>
        <n v="2"/>
        <n v="3"/>
        <m/>
      </sharedItems>
    </cacheField>
    <cacheField name="DE 30.000 A 50.000" numFmtId="0">
      <sharedItems containsString="0" containsBlank="1" containsNumber="1" containsInteger="1" minValue="2" maxValue="2"/>
    </cacheField>
    <cacheField name="DE 50.001 A 100.000" numFmtId="0">
      <sharedItems containsString="0" containsBlank="1" containsNumber="1" containsInteger="1" minValue="4" maxValue="4"/>
    </cacheField>
    <cacheField name="DE 100.001 A 300.000" numFmtId="0">
      <sharedItems containsString="0" containsBlank="1" containsNumber="1" containsInteger="1" minValue="10" maxValue="10"/>
    </cacheField>
    <cacheField name="DE 300.001 EN ADELANTE" numFmtId="0">
      <sharedItems containsString="0" containsBlank="1" containsNumber="1" containsInteger="1" minValue="20" maxValue="20"/>
    </cacheField>
    <cacheField name="Total" numFmtId="0">
      <sharedItems containsString="0" containsBlank="1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A126-39"/>
    <s v="DBL55"/>
    <x v="0"/>
    <s v="2020/05/02  1:10PM"/>
    <s v="2020/05/02 "/>
    <x v="0"/>
    <m/>
    <m/>
    <m/>
    <n v="20"/>
    <n v="20"/>
  </r>
  <r>
    <s v="A125-51"/>
    <s v="DBL51"/>
    <x v="1"/>
    <s v="2020/04/29  8:30AM"/>
    <s v="2020/04/29 "/>
    <x v="0"/>
    <n v="2"/>
    <m/>
    <m/>
    <m/>
    <n v="2"/>
  </r>
  <r>
    <s v="A125-76"/>
    <s v="DBL51"/>
    <x v="2"/>
    <s v="2020/04/29 12:13PM"/>
    <s v="2020/04/29 "/>
    <x v="0"/>
    <n v="2"/>
    <m/>
    <m/>
    <m/>
    <n v="2"/>
  </r>
  <r>
    <s v="A125-4"/>
    <s v="DBL51"/>
    <x v="3"/>
    <s v="2020/04/28  8:20AM"/>
    <s v="2020/04/28 "/>
    <x v="0"/>
    <n v="2"/>
    <m/>
    <m/>
    <m/>
    <n v="2"/>
  </r>
  <r>
    <s v="A118-251"/>
    <s v="DBL53"/>
    <x v="4"/>
    <s v="2020/04/28  8:26AM"/>
    <s v="2020/04/28 "/>
    <x v="0"/>
    <n v="2"/>
    <m/>
    <m/>
    <m/>
    <n v="2"/>
  </r>
  <r>
    <s v="A116-244"/>
    <s v="DBL56"/>
    <x v="5"/>
    <s v="2020/04/28  8:51AM"/>
    <s v="2020/04/28 "/>
    <x v="0"/>
    <n v="2"/>
    <m/>
    <m/>
    <m/>
    <n v="2"/>
  </r>
  <r>
    <s v="A116-245"/>
    <s v="DBL56"/>
    <x v="6"/>
    <s v="2020/04/28  8:52AM"/>
    <s v="2020/04/28 "/>
    <x v="0"/>
    <n v="2"/>
    <m/>
    <m/>
    <m/>
    <n v="2"/>
  </r>
  <r>
    <s v="A118-254"/>
    <s v="DBL53"/>
    <x v="7"/>
    <s v="2020/04/28  9:04AM"/>
    <s v="2020/04/28 "/>
    <x v="0"/>
    <n v="2"/>
    <m/>
    <m/>
    <m/>
    <n v="2"/>
  </r>
  <r>
    <s v="A116-246"/>
    <s v="DBL56"/>
    <x v="8"/>
    <s v="2020/04/28  9:24AM"/>
    <s v="2020/04/28 "/>
    <x v="0"/>
    <n v="2"/>
    <m/>
    <m/>
    <m/>
    <n v="2"/>
  </r>
  <r>
    <s v="A116-247"/>
    <s v="DBL56"/>
    <x v="9"/>
    <s v="2020/04/28  9:24AM"/>
    <s v="2020/04/28 "/>
    <x v="0"/>
    <m/>
    <n v="4"/>
    <m/>
    <m/>
    <n v="4"/>
  </r>
  <r>
    <s v="A116-248"/>
    <s v="DBL56"/>
    <x v="10"/>
    <s v="2020/04/28  9:24AM"/>
    <s v="2020/04/28 "/>
    <x v="0"/>
    <n v="2"/>
    <m/>
    <m/>
    <m/>
    <n v="2"/>
  </r>
  <r>
    <s v="A116-249"/>
    <s v="DBL56"/>
    <x v="11"/>
    <s v="2020/04/28  9:24AM"/>
    <s v="2020/04/28 "/>
    <x v="0"/>
    <n v="2"/>
    <m/>
    <m/>
    <m/>
    <n v="2"/>
  </r>
  <r>
    <s v="A116-250"/>
    <s v="DBL56"/>
    <x v="12"/>
    <s v="2020/04/28  9:27AM"/>
    <s v="2020/04/28 "/>
    <x v="0"/>
    <m/>
    <n v="4"/>
    <m/>
    <m/>
    <n v="4"/>
  </r>
  <r>
    <s v="A118-258"/>
    <s v="DBL53"/>
    <x v="13"/>
    <s v="2020/04/28  9:41AM"/>
    <s v="2020/04/28 "/>
    <x v="0"/>
    <m/>
    <m/>
    <n v="10"/>
    <m/>
    <n v="10"/>
  </r>
  <r>
    <s v="A118-260"/>
    <s v="DBL53"/>
    <x v="14"/>
    <s v="2020/04/28  9:54AM"/>
    <s v="2020/04/28 "/>
    <x v="0"/>
    <n v="2"/>
    <m/>
    <m/>
    <m/>
    <n v="2"/>
  </r>
  <r>
    <s v="A118-265"/>
    <s v="DBL53"/>
    <x v="15"/>
    <s v="2020/04/28 11:08AM"/>
    <s v="2020/04/28 "/>
    <x v="0"/>
    <m/>
    <n v="4"/>
    <m/>
    <m/>
    <n v="4"/>
  </r>
  <r>
    <s v="A118-266"/>
    <s v="DBL53"/>
    <x v="16"/>
    <s v="2020/04/28 11:26AM"/>
    <s v="2020/04/28 "/>
    <x v="0"/>
    <m/>
    <n v="4"/>
    <m/>
    <m/>
    <n v="4"/>
  </r>
  <r>
    <s v="A103-454"/>
    <s v="DBL52"/>
    <x v="17"/>
    <s v="2020/04/28 12:46PM"/>
    <s v="2020/04/28 "/>
    <x v="0"/>
    <n v="2"/>
    <m/>
    <m/>
    <m/>
    <n v="2"/>
  </r>
  <r>
    <s v="A118-271"/>
    <s v="DBL53"/>
    <x v="18"/>
    <s v="2020/04/28 12:46PM"/>
    <s v="2020/04/28 "/>
    <x v="0"/>
    <m/>
    <n v="4"/>
    <m/>
    <m/>
    <n v="4"/>
  </r>
  <r>
    <s v="A114-368"/>
    <s v="DBL50"/>
    <x v="19"/>
    <s v="2020/04/28 12:51PM"/>
    <s v="2020/04/28 "/>
    <x v="0"/>
    <n v="2"/>
    <m/>
    <m/>
    <m/>
    <n v="2"/>
  </r>
  <r>
    <s v="A123-303"/>
    <s v="DBL55"/>
    <x v="20"/>
    <s v="2020/04/28  1:06PM"/>
    <s v="2020/04/28 "/>
    <x v="0"/>
    <m/>
    <m/>
    <n v="10"/>
    <m/>
    <n v="10"/>
  </r>
  <r>
    <s v="A103-458"/>
    <s v="DBL52"/>
    <x v="21"/>
    <s v="2020/04/28  1:12PM"/>
    <s v="2020/04/28 "/>
    <x v="0"/>
    <m/>
    <m/>
    <m/>
    <n v="20"/>
    <n v="20"/>
  </r>
  <r>
    <s v="A118-274"/>
    <s v="DBL53"/>
    <x v="22"/>
    <s v="2020/04/28  1:18PM"/>
    <s v="2020/04/28 "/>
    <x v="0"/>
    <n v="2"/>
    <m/>
    <m/>
    <m/>
    <n v="2"/>
  </r>
  <r>
    <s v="A118-385"/>
    <s v="DBL53"/>
    <x v="23"/>
    <s v="2020/05/09 10:11AM"/>
    <s v="2020/05/09 "/>
    <x v="1"/>
    <n v="2"/>
    <m/>
    <m/>
    <m/>
    <n v="2"/>
  </r>
  <r>
    <s v="A126-225"/>
    <s v="DBL55"/>
    <x v="24"/>
    <s v="2020/05/09  1:19PM"/>
    <s v="2020/05/09 "/>
    <x v="1"/>
    <n v="2"/>
    <m/>
    <m/>
    <m/>
    <n v="2"/>
  </r>
  <r>
    <s v="A114-531"/>
    <s v="DBL50"/>
    <x v="25"/>
    <s v="2020/05/08  8:41AM"/>
    <s v="2020/05/08 "/>
    <x v="1"/>
    <n v="2"/>
    <m/>
    <m/>
    <m/>
    <n v="2"/>
  </r>
  <r>
    <s v="A118-379"/>
    <s v="DBL53"/>
    <x v="26"/>
    <s v="2020/05/08 11:02AM"/>
    <s v="2020/05/08 "/>
    <x v="1"/>
    <m/>
    <m/>
    <n v="10"/>
    <m/>
    <n v="10"/>
  </r>
  <r>
    <s v="A114-552"/>
    <s v="DBL50"/>
    <x v="27"/>
    <s v="2020/05/08  1:55PM"/>
    <s v="2020/05/08 "/>
    <x v="1"/>
    <n v="2"/>
    <m/>
    <m/>
    <m/>
    <n v="2"/>
  </r>
  <r>
    <s v="A114-554"/>
    <s v="DBL50"/>
    <x v="28"/>
    <s v="2020/05/08  1:57PM"/>
    <s v="2020/05/08 "/>
    <x v="1"/>
    <n v="2"/>
    <m/>
    <m/>
    <m/>
    <n v="2"/>
  </r>
  <r>
    <s v="A114-505"/>
    <s v="DBL50"/>
    <x v="29"/>
    <s v="2020/05/07 10:36AM"/>
    <s v="2020/05/07 "/>
    <x v="1"/>
    <n v="2"/>
    <m/>
    <m/>
    <m/>
    <n v="2"/>
  </r>
  <r>
    <s v="A109-329"/>
    <s v="DBL54"/>
    <x v="30"/>
    <s v="2020/05/06 10:52AM"/>
    <s v="2020/05/06 "/>
    <x v="1"/>
    <m/>
    <m/>
    <m/>
    <n v="20"/>
    <n v="20"/>
  </r>
  <r>
    <s v="A109-290"/>
    <s v="DBL54"/>
    <x v="31"/>
    <s v="2020/05/05  9:17AM"/>
    <s v="2020/05/05 "/>
    <x v="1"/>
    <m/>
    <m/>
    <m/>
    <n v="20"/>
    <n v="20"/>
  </r>
  <r>
    <s v="A109-293"/>
    <s v="DBL54"/>
    <x v="32"/>
    <s v="2020/05/05  9:19AM"/>
    <s v="2020/05/05 "/>
    <x v="1"/>
    <m/>
    <m/>
    <m/>
    <n v="20"/>
    <n v="20"/>
  </r>
  <r>
    <s v="A109-295"/>
    <s v="DBL54"/>
    <x v="33"/>
    <s v="2020/05/05  9:25AM"/>
    <s v="2020/05/05 "/>
    <x v="1"/>
    <m/>
    <m/>
    <m/>
    <n v="20"/>
    <n v="20"/>
  </r>
  <r>
    <s v="A109-297"/>
    <s v="DBL54"/>
    <x v="34"/>
    <s v="2020/05/05  9:30AM"/>
    <s v="2020/05/05 "/>
    <x v="1"/>
    <m/>
    <m/>
    <n v="10"/>
    <m/>
    <n v="10"/>
  </r>
  <r>
    <s v="A109-301"/>
    <s v="DBL54"/>
    <x v="35"/>
    <s v="2020/05/05 10:08AM"/>
    <s v="2020/05/05 "/>
    <x v="1"/>
    <m/>
    <m/>
    <n v="10"/>
    <m/>
    <n v="10"/>
  </r>
  <r>
    <s v="A109-304"/>
    <s v="DBL54"/>
    <x v="36"/>
    <s v="2020/05/05 10:26AM"/>
    <s v="2020/05/05 "/>
    <x v="1"/>
    <m/>
    <m/>
    <m/>
    <n v="20"/>
    <n v="20"/>
  </r>
  <r>
    <s v="A109-306"/>
    <s v="DBL54"/>
    <x v="37"/>
    <s v="2020/05/05 10:36AM"/>
    <s v="2020/05/05 "/>
    <x v="1"/>
    <m/>
    <m/>
    <m/>
    <n v="20"/>
    <n v="20"/>
  </r>
  <r>
    <s v="A114-490"/>
    <s v="DBL50"/>
    <x v="38"/>
    <s v="2020/05/05 10:40AM"/>
    <s v="2020/05/05 "/>
    <x v="1"/>
    <n v="2"/>
    <m/>
    <m/>
    <m/>
    <n v="2"/>
  </r>
  <r>
    <s v="A109-309"/>
    <s v="DBL54"/>
    <x v="39"/>
    <s v="2020/05/05 11:32AM"/>
    <s v="2020/05/05 "/>
    <x v="1"/>
    <m/>
    <m/>
    <m/>
    <n v="20"/>
    <n v="20"/>
  </r>
  <r>
    <s v="A114-496"/>
    <s v="DBL50"/>
    <x v="40"/>
    <s v="2020/05/05 12:08PM"/>
    <s v="2020/05/05 "/>
    <x v="1"/>
    <n v="2"/>
    <m/>
    <m/>
    <m/>
    <n v="2"/>
  </r>
  <r>
    <s v="A109-318"/>
    <s v="DBL54"/>
    <x v="41"/>
    <s v="2020/05/05  1:11PM"/>
    <s v="2020/05/05 "/>
    <x v="1"/>
    <m/>
    <m/>
    <m/>
    <n v="20"/>
    <n v="20"/>
  </r>
  <r>
    <s v="A109-320"/>
    <s v="DBL54"/>
    <x v="42"/>
    <s v="2020/05/05  1:19PM"/>
    <s v="2020/05/05 "/>
    <x v="1"/>
    <m/>
    <m/>
    <m/>
    <n v="20"/>
    <n v="20"/>
  </r>
  <r>
    <s v="A109-322"/>
    <s v="DBL54"/>
    <x v="43"/>
    <s v="2020/05/05  1:30PM"/>
    <s v="2020/05/05 "/>
    <x v="1"/>
    <m/>
    <m/>
    <m/>
    <n v="20"/>
    <n v="20"/>
  </r>
  <r>
    <s v="A126-63"/>
    <s v="DBL55"/>
    <x v="44"/>
    <s v="2020/05/04  8:12AM"/>
    <s v="2020/05/04 "/>
    <x v="1"/>
    <m/>
    <n v="4"/>
    <m/>
    <m/>
    <n v="4"/>
  </r>
  <r>
    <s v="A118-300"/>
    <s v="DBL53"/>
    <x v="45"/>
    <s v="2020/05/04  8:27AM"/>
    <s v="2020/05/04 "/>
    <x v="1"/>
    <n v="2"/>
    <m/>
    <m/>
    <m/>
    <n v="2"/>
  </r>
  <r>
    <s v="A118-303"/>
    <s v="DBL53"/>
    <x v="46"/>
    <s v="2020/05/04  8:35AM"/>
    <s v="2020/05/04 "/>
    <x v="1"/>
    <m/>
    <n v="4"/>
    <m/>
    <m/>
    <n v="4"/>
  </r>
  <r>
    <s v="A125-88"/>
    <s v="DBL51"/>
    <x v="47"/>
    <s v="2020/05/04  8:35AM"/>
    <s v="2020/05/04 "/>
    <x v="1"/>
    <n v="2"/>
    <m/>
    <m/>
    <m/>
    <n v="2"/>
  </r>
  <r>
    <s v="A126-67"/>
    <s v="DBL55"/>
    <x v="48"/>
    <s v="2020/05/04  8:36AM"/>
    <s v="2020/05/04 "/>
    <x v="1"/>
    <m/>
    <m/>
    <m/>
    <n v="20"/>
    <n v="20"/>
  </r>
  <r>
    <s v="A125-90"/>
    <s v="DBL51"/>
    <x v="49"/>
    <s v="2020/05/04  8:37AM"/>
    <s v="2020/05/04 "/>
    <x v="1"/>
    <n v="2"/>
    <m/>
    <m/>
    <m/>
    <n v="2"/>
  </r>
  <r>
    <s v="A125-92"/>
    <s v="DBL51"/>
    <x v="50"/>
    <s v="2020/05/04  8:39AM"/>
    <s v="2020/05/04 "/>
    <x v="1"/>
    <n v="2"/>
    <m/>
    <m/>
    <m/>
    <n v="2"/>
  </r>
  <r>
    <s v="A125-94"/>
    <s v="DBL51"/>
    <x v="51"/>
    <s v="2020/05/04  8:42AM"/>
    <s v="2020/05/04 "/>
    <x v="1"/>
    <m/>
    <n v="4"/>
    <m/>
    <m/>
    <n v="4"/>
  </r>
  <r>
    <s v="A118-306"/>
    <s v="DBL53"/>
    <x v="52"/>
    <s v="2020/05/04  8:48AM"/>
    <s v="2020/05/04 "/>
    <x v="1"/>
    <m/>
    <n v="4"/>
    <m/>
    <m/>
    <n v="4"/>
  </r>
  <r>
    <s v="A125-97"/>
    <s v="DBL51"/>
    <x v="53"/>
    <s v="2020/05/04  8:50AM"/>
    <s v="2020/05/04 "/>
    <x v="1"/>
    <m/>
    <n v="4"/>
    <m/>
    <m/>
    <n v="4"/>
  </r>
  <r>
    <s v="A106-348"/>
    <s v="DBL58"/>
    <x v="54"/>
    <s v="2020/05/04  8:55AM"/>
    <s v="2020/05/04 "/>
    <x v="1"/>
    <m/>
    <n v="4"/>
    <m/>
    <m/>
    <n v="4"/>
  </r>
  <r>
    <s v="A109-254"/>
    <s v="DBL54"/>
    <x v="55"/>
    <s v="2020/05/04  8:57AM"/>
    <s v="2020/05/04 "/>
    <x v="1"/>
    <n v="2"/>
    <m/>
    <m/>
    <m/>
    <n v="2"/>
  </r>
  <r>
    <s v="A114-445"/>
    <s v="DBL50"/>
    <x v="56"/>
    <s v="2020/05/04  9:22AM"/>
    <s v="2020/05/04 "/>
    <x v="1"/>
    <n v="2"/>
    <m/>
    <m/>
    <m/>
    <n v="2"/>
  </r>
  <r>
    <s v="A106-356"/>
    <s v="DBL58"/>
    <x v="57"/>
    <s v="2020/05/04  9:29AM"/>
    <s v="2020/05/04 "/>
    <x v="1"/>
    <n v="2"/>
    <m/>
    <m/>
    <m/>
    <n v="2"/>
  </r>
  <r>
    <s v="A118-313"/>
    <s v="DBL53"/>
    <x v="58"/>
    <s v="2020/05/04  9:49AM"/>
    <s v="2020/05/04 "/>
    <x v="1"/>
    <m/>
    <m/>
    <m/>
    <n v="20"/>
    <n v="20"/>
  </r>
  <r>
    <s v="A109-261"/>
    <s v="DBL54"/>
    <x v="59"/>
    <s v="2020/05/04 10:02AM"/>
    <s v="2020/05/04 "/>
    <x v="1"/>
    <m/>
    <m/>
    <m/>
    <n v="20"/>
    <n v="20"/>
  </r>
  <r>
    <s v="A118-316"/>
    <s v="DBL53"/>
    <x v="60"/>
    <s v="2020/05/04 10:20AM"/>
    <s v="2020/05/04 "/>
    <x v="1"/>
    <m/>
    <n v="4"/>
    <m/>
    <m/>
    <n v="4"/>
  </r>
  <r>
    <s v="A109-264"/>
    <s v="DBL54"/>
    <x v="61"/>
    <s v="2020/05/04 10:57AM"/>
    <s v="2020/05/04 "/>
    <x v="1"/>
    <m/>
    <m/>
    <m/>
    <n v="20"/>
    <n v="20"/>
  </r>
  <r>
    <s v="A118-320"/>
    <s v="DBL53"/>
    <x v="62"/>
    <s v="2020/05/04 11:03AM"/>
    <s v="2020/05/04 "/>
    <x v="1"/>
    <m/>
    <n v="4"/>
    <m/>
    <m/>
    <n v="4"/>
  </r>
  <r>
    <s v="A114-458"/>
    <s v="DBL50"/>
    <x v="63"/>
    <s v="2020/05/04 11:24AM"/>
    <s v="2020/05/04 "/>
    <x v="1"/>
    <n v="2"/>
    <m/>
    <m/>
    <m/>
    <n v="2"/>
  </r>
  <r>
    <s v="A109-267"/>
    <s v="DBL54"/>
    <x v="64"/>
    <s v="2020/05/04 11:38AM"/>
    <s v="2020/05/04 "/>
    <x v="1"/>
    <m/>
    <m/>
    <m/>
    <n v="20"/>
    <n v="20"/>
  </r>
  <r>
    <s v="A114-461"/>
    <s v="DBL50"/>
    <x v="65"/>
    <s v="2020/05/04 11:43AM"/>
    <s v="2020/05/04 "/>
    <x v="1"/>
    <n v="2"/>
    <m/>
    <m/>
    <m/>
    <n v="2"/>
  </r>
  <r>
    <s v="A118-327"/>
    <s v="DBL53"/>
    <x v="66"/>
    <s v="2020/05/04 11:49AM"/>
    <s v="2020/05/04 "/>
    <x v="1"/>
    <m/>
    <n v="4"/>
    <m/>
    <m/>
    <n v="4"/>
  </r>
  <r>
    <s v="A114-467"/>
    <s v="DBL50"/>
    <x v="67"/>
    <s v="2020/05/04 12:24PM"/>
    <s v="2020/05/04 "/>
    <x v="1"/>
    <n v="2"/>
    <m/>
    <m/>
    <m/>
    <n v="2"/>
  </r>
  <r>
    <s v="A125-115"/>
    <s v="DBL51"/>
    <x v="68"/>
    <s v="2020/05/04 12:27PM"/>
    <s v="2020/05/04 "/>
    <x v="1"/>
    <n v="2"/>
    <m/>
    <m/>
    <m/>
    <n v="2"/>
  </r>
  <r>
    <s v="A118-334"/>
    <s v="DBL53"/>
    <x v="69"/>
    <s v="2020/05/04 12:42PM"/>
    <s v="2020/05/04 "/>
    <x v="1"/>
    <n v="2"/>
    <m/>
    <m/>
    <m/>
    <n v="2"/>
  </r>
  <r>
    <s v="A109-273"/>
    <s v="DBL54"/>
    <x v="70"/>
    <s v="2020/05/04 12:55PM"/>
    <s v="2020/05/04 "/>
    <x v="1"/>
    <m/>
    <m/>
    <m/>
    <n v="20"/>
    <n v="20"/>
  </r>
  <r>
    <s v="A103-521"/>
    <s v="DBL52"/>
    <x v="71"/>
    <s v="2020/05/04  1:33PM"/>
    <s v="2020/05/04 "/>
    <x v="1"/>
    <m/>
    <m/>
    <n v="10"/>
    <m/>
    <n v="10"/>
  </r>
  <r>
    <s v="A126-81"/>
    <s v="DBL55"/>
    <x v="72"/>
    <s v="2020/05/04  1:35PM"/>
    <s v="2020/05/04 "/>
    <x v="1"/>
    <m/>
    <m/>
    <m/>
    <n v="20"/>
    <n v="20"/>
  </r>
  <r>
    <s v="A114-478"/>
    <s v="DBL50"/>
    <x v="73"/>
    <s v="2020/05/04  1:38PM"/>
    <s v="2020/05/04 "/>
    <x v="1"/>
    <n v="2"/>
    <m/>
    <m/>
    <m/>
    <n v="2"/>
  </r>
  <r>
    <s v="A118-338"/>
    <s v="DBL53"/>
    <x v="74"/>
    <s v="2020/05/04  1:48PM"/>
    <s v="2020/05/04 "/>
    <x v="1"/>
    <n v="2"/>
    <m/>
    <m/>
    <m/>
    <n v="2"/>
  </r>
  <r>
    <s v="A109-277"/>
    <s v="DBL54"/>
    <x v="75"/>
    <s v="2020/05/04  2:00PM"/>
    <s v="2020/05/04 "/>
    <x v="1"/>
    <m/>
    <m/>
    <m/>
    <n v="20"/>
    <n v="20"/>
  </r>
  <r>
    <s v="A109-279"/>
    <s v="DBL54"/>
    <x v="76"/>
    <s v="2020/05/04  2:04PM"/>
    <s v="2020/05/04 "/>
    <x v="1"/>
    <m/>
    <m/>
    <n v="10"/>
    <m/>
    <n v="10"/>
  </r>
  <r>
    <s v="A109-282"/>
    <s v="DBL54"/>
    <x v="77"/>
    <s v="2020/05/04  2:24PM"/>
    <s v="2020/05/04 "/>
    <x v="1"/>
    <m/>
    <m/>
    <m/>
    <n v="20"/>
    <n v="20"/>
  </r>
  <r>
    <s v="A114-486"/>
    <s v="DBL50"/>
    <x v="78"/>
    <s v="2020/05/04  3:07PM"/>
    <s v="2020/05/04 "/>
    <x v="1"/>
    <n v="2"/>
    <m/>
    <m/>
    <m/>
    <n v="2"/>
  </r>
  <r>
    <s v="A106-386"/>
    <s v="DBL58"/>
    <x v="79"/>
    <s v="2020/05/04  3:15PM"/>
    <s v="2020/05/04 "/>
    <x v="1"/>
    <n v="2"/>
    <m/>
    <m/>
    <m/>
    <n v="2"/>
  </r>
  <r>
    <s v="A126-253"/>
    <s v="DBL55"/>
    <x v="48"/>
    <s v="2020/05/11  8:29AM"/>
    <s v="2020/05/11 "/>
    <x v="2"/>
    <m/>
    <m/>
    <n v="10"/>
    <m/>
    <n v="10"/>
  </r>
  <r>
    <s v="A103-557"/>
    <s v="DBL52"/>
    <x v="80"/>
    <s v="2020/05/11 10:53AM"/>
    <s v="2020/05/11 "/>
    <x v="2"/>
    <m/>
    <m/>
    <n v="10"/>
    <m/>
    <n v="10"/>
  </r>
  <r>
    <s v="A109-355"/>
    <s v="DBL54"/>
    <x v="81"/>
    <s v="2020/05/11 11:15AM"/>
    <s v="2020/05/11 "/>
    <x v="2"/>
    <m/>
    <m/>
    <m/>
    <n v="20"/>
    <n v="20"/>
  </r>
  <r>
    <s v="A103-562"/>
    <s v="DBL52"/>
    <x v="82"/>
    <s v="2020/05/11 11:31AM"/>
    <s v="2020/05/11 "/>
    <x v="2"/>
    <m/>
    <m/>
    <m/>
    <n v="20"/>
    <n v="20"/>
  </r>
  <r>
    <m/>
    <m/>
    <x v="83"/>
    <m/>
    <m/>
    <x v="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89" firstHeaderRow="1" firstDataRow="2" firstDataCol="1"/>
  <pivotFields count="11">
    <pivotField showAll="0"/>
    <pivotField showAll="0"/>
    <pivotField axis="axisRow" showAll="0">
      <items count="85">
        <item x="80"/>
        <item x="4"/>
        <item x="74"/>
        <item x="70"/>
        <item x="59"/>
        <item x="23"/>
        <item x="73"/>
        <item x="65"/>
        <item x="45"/>
        <item x="3"/>
        <item x="52"/>
        <item x="6"/>
        <item x="40"/>
        <item x="53"/>
        <item x="60"/>
        <item x="30"/>
        <item x="55"/>
        <item x="81"/>
        <item x="15"/>
        <item x="56"/>
        <item x="7"/>
        <item x="29"/>
        <item x="12"/>
        <item x="39"/>
        <item x="22"/>
        <item x="17"/>
        <item x="24"/>
        <item x="1"/>
        <item x="82"/>
        <item x="68"/>
        <item x="71"/>
        <item x="25"/>
        <item x="75"/>
        <item x="8"/>
        <item x="0"/>
        <item x="58"/>
        <item x="61"/>
        <item x="42"/>
        <item x="67"/>
        <item x="20"/>
        <item x="34"/>
        <item x="21"/>
        <item x="37"/>
        <item x="54"/>
        <item x="77"/>
        <item x="76"/>
        <item x="5"/>
        <item x="63"/>
        <item x="31"/>
        <item x="79"/>
        <item x="18"/>
        <item x="41"/>
        <item x="43"/>
        <item x="14"/>
        <item x="50"/>
        <item x="47"/>
        <item x="38"/>
        <item x="28"/>
        <item x="69"/>
        <item x="46"/>
        <item x="64"/>
        <item x="48"/>
        <item x="27"/>
        <item x="33"/>
        <item x="72"/>
        <item x="32"/>
        <item x="35"/>
        <item x="78"/>
        <item x="9"/>
        <item x="10"/>
        <item x="19"/>
        <item x="51"/>
        <item x="62"/>
        <item x="26"/>
        <item x="16"/>
        <item x="57"/>
        <item x="49"/>
        <item x="2"/>
        <item x="11"/>
        <item x="13"/>
        <item x="44"/>
        <item x="66"/>
        <item x="36"/>
        <item x="83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 defaultSubtotal="0"/>
  </pivotFields>
  <rowFields count="1">
    <field x="2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Total" fld="10" baseField="2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1:XFD201"/>
  <sheetViews>
    <sheetView tabSelected="1" zoomScale="60" zoomScaleNormal="60" workbookViewId="0">
      <selection activeCell="G18" sqref="G18"/>
    </sheetView>
  </sheetViews>
  <sheetFormatPr baseColWidth="10" defaultRowHeight="15" x14ac:dyDescent="0.25"/>
  <cols>
    <col min="1" max="1" width="4" style="1" customWidth="1"/>
    <col min="2" max="2" width="12.28515625" style="1" customWidth="1"/>
    <col min="3" max="3" width="6.5703125" style="1" customWidth="1"/>
    <col min="4" max="4" width="21.85546875" style="1" bestFit="1" customWidth="1"/>
    <col min="5" max="5" width="17.28515625" style="1" bestFit="1" customWidth="1"/>
    <col min="6" max="6" width="25.42578125" style="1" bestFit="1" customWidth="1"/>
    <col min="7" max="7" width="50.5703125" style="4" bestFit="1" customWidth="1"/>
    <col min="8" max="8" width="34" style="1" bestFit="1" customWidth="1"/>
    <col min="9" max="9" width="48.7109375" style="1" customWidth="1"/>
    <col min="10" max="10" width="52.28515625" style="1" bestFit="1" customWidth="1"/>
    <col min="11" max="11" width="13.42578125" style="1" bestFit="1" customWidth="1"/>
    <col min="12" max="12" width="21.85546875" style="1" bestFit="1" customWidth="1"/>
    <col min="13" max="14" width="22.28515625" style="1" bestFit="1" customWidth="1"/>
    <col min="15" max="16" width="22.28515625" style="41" bestFit="1" customWidth="1"/>
    <col min="17" max="17" width="22.28515625" style="34" customWidth="1"/>
    <col min="18" max="18" width="22.28515625" style="1" bestFit="1" customWidth="1"/>
    <col min="19" max="20" width="22.28515625" style="1" customWidth="1"/>
    <col min="21" max="21" width="23.28515625" style="80" bestFit="1" customWidth="1"/>
    <col min="22" max="22" width="22.7109375" style="1" bestFit="1" customWidth="1"/>
    <col min="23" max="24" width="23.28515625" style="1" bestFit="1" customWidth="1"/>
    <col min="25" max="26" width="15.5703125" style="1" bestFit="1" customWidth="1"/>
    <col min="27" max="27" width="17" style="1" bestFit="1" customWidth="1"/>
    <col min="28" max="16384" width="11.42578125" style="1"/>
  </cols>
  <sheetData>
    <row r="1" spans="2:27" ht="15.75" thickBot="1" x14ac:dyDescent="0.3">
      <c r="T1" s="108"/>
      <c r="U1" s="108"/>
    </row>
    <row r="2" spans="2:27" ht="15.75" thickBot="1" x14ac:dyDescent="0.3">
      <c r="B2" s="127" t="s">
        <v>305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</row>
    <row r="3" spans="2:27" ht="15.75" thickBot="1" x14ac:dyDescent="0.3">
      <c r="B3" s="109" t="s">
        <v>607</v>
      </c>
      <c r="C3" s="109" t="s">
        <v>112</v>
      </c>
      <c r="D3" s="110" t="s">
        <v>0</v>
      </c>
      <c r="E3" s="110" t="s">
        <v>306</v>
      </c>
      <c r="F3" s="110" t="s">
        <v>307</v>
      </c>
      <c r="G3" s="109" t="s">
        <v>1</v>
      </c>
      <c r="H3" s="111" t="s">
        <v>13</v>
      </c>
      <c r="I3" s="109" t="s">
        <v>114</v>
      </c>
      <c r="J3" s="109" t="s">
        <v>115</v>
      </c>
      <c r="K3" s="109" t="s">
        <v>379</v>
      </c>
      <c r="L3" s="109" t="s">
        <v>321</v>
      </c>
      <c r="M3" s="109" t="s">
        <v>322</v>
      </c>
      <c r="N3" s="109" t="s">
        <v>323</v>
      </c>
      <c r="O3" s="109" t="s">
        <v>324</v>
      </c>
      <c r="P3" s="109" t="s">
        <v>325</v>
      </c>
      <c r="Q3" s="109" t="s">
        <v>326</v>
      </c>
      <c r="R3" s="109" t="s">
        <v>631</v>
      </c>
      <c r="S3" s="109" t="s">
        <v>639</v>
      </c>
      <c r="T3" s="109" t="s">
        <v>640</v>
      </c>
      <c r="U3" s="109" t="s">
        <v>665</v>
      </c>
      <c r="V3" s="109" t="s">
        <v>668</v>
      </c>
      <c r="W3" s="109" t="s">
        <v>671</v>
      </c>
      <c r="X3" s="109" t="s">
        <v>674</v>
      </c>
      <c r="Y3" s="109" t="s">
        <v>710</v>
      </c>
      <c r="Z3" s="109" t="s">
        <v>714</v>
      </c>
      <c r="AA3" s="109" t="s">
        <v>568</v>
      </c>
    </row>
    <row r="4" spans="2:27" x14ac:dyDescent="0.25">
      <c r="B4" s="3" t="s">
        <v>608</v>
      </c>
      <c r="C4" s="3">
        <v>1</v>
      </c>
      <c r="D4" s="2" t="s">
        <v>2</v>
      </c>
      <c r="E4" s="2" t="s">
        <v>308</v>
      </c>
      <c r="F4" s="2" t="s">
        <v>317</v>
      </c>
      <c r="G4" s="3" t="s">
        <v>3</v>
      </c>
      <c r="H4" s="5">
        <v>2023491</v>
      </c>
      <c r="I4" s="48" t="s">
        <v>150</v>
      </c>
      <c r="J4" s="6" t="s">
        <v>173</v>
      </c>
      <c r="K4" s="23"/>
      <c r="L4" s="49"/>
      <c r="M4" s="49">
        <v>8</v>
      </c>
      <c r="N4" s="49">
        <v>6</v>
      </c>
      <c r="O4" s="49">
        <v>8</v>
      </c>
      <c r="P4" s="49">
        <v>7</v>
      </c>
      <c r="Q4" s="49">
        <v>6</v>
      </c>
      <c r="R4" s="49">
        <v>6</v>
      </c>
      <c r="S4" s="92">
        <v>8</v>
      </c>
      <c r="T4" s="92">
        <v>12</v>
      </c>
      <c r="U4" s="92">
        <v>4</v>
      </c>
      <c r="V4" s="92">
        <v>3</v>
      </c>
      <c r="W4" s="92">
        <v>2</v>
      </c>
      <c r="X4" s="92">
        <v>4</v>
      </c>
      <c r="Y4" s="123">
        <v>3</v>
      </c>
      <c r="Z4" s="123"/>
      <c r="AA4" s="85"/>
    </row>
    <row r="5" spans="2:27" x14ac:dyDescent="0.25">
      <c r="B5" s="45" t="s">
        <v>608</v>
      </c>
      <c r="C5" s="45">
        <f>+C4+1</f>
        <v>2</v>
      </c>
      <c r="D5" s="44" t="s">
        <v>4</v>
      </c>
      <c r="E5" s="44" t="s">
        <v>309</v>
      </c>
      <c r="F5" s="44" t="s">
        <v>310</v>
      </c>
      <c r="G5" s="45" t="s">
        <v>5</v>
      </c>
      <c r="H5" s="47">
        <v>3122475697</v>
      </c>
      <c r="I5" s="48" t="s">
        <v>150</v>
      </c>
      <c r="J5" s="48" t="s">
        <v>210</v>
      </c>
      <c r="K5" s="48"/>
      <c r="L5" s="49">
        <f>4*12</f>
        <v>48</v>
      </c>
      <c r="M5" s="49">
        <v>48</v>
      </c>
      <c r="N5" s="49">
        <v>60</v>
      </c>
      <c r="O5" s="49">
        <v>180</v>
      </c>
      <c r="P5" s="49">
        <v>360</v>
      </c>
      <c r="Q5" s="49">
        <v>480</v>
      </c>
      <c r="R5" s="49">
        <v>360</v>
      </c>
      <c r="S5" s="92">
        <v>480</v>
      </c>
      <c r="T5" s="92">
        <v>600</v>
      </c>
      <c r="U5" s="92">
        <v>360</v>
      </c>
      <c r="V5" s="92">
        <v>480</v>
      </c>
      <c r="W5" s="92">
        <v>420</v>
      </c>
      <c r="X5" s="92">
        <v>144</v>
      </c>
      <c r="Y5" s="123">
        <v>360</v>
      </c>
      <c r="Z5" s="123"/>
      <c r="AA5" s="85"/>
    </row>
    <row r="6" spans="2:27" x14ac:dyDescent="0.25">
      <c r="B6" s="45" t="s">
        <v>608</v>
      </c>
      <c r="C6" s="45">
        <f t="shared" ref="C6:C77" si="0">+C5+1</f>
        <v>3</v>
      </c>
      <c r="D6" s="44" t="s">
        <v>6</v>
      </c>
      <c r="E6" s="44" t="s">
        <v>313</v>
      </c>
      <c r="F6" s="44" t="s">
        <v>310</v>
      </c>
      <c r="G6" s="45" t="s">
        <v>7</v>
      </c>
      <c r="H6" s="47">
        <v>3216537169</v>
      </c>
      <c r="I6" s="48" t="s">
        <v>150</v>
      </c>
      <c r="J6" s="48" t="s">
        <v>211</v>
      </c>
      <c r="K6" s="48"/>
      <c r="L6" s="49">
        <v>0</v>
      </c>
      <c r="M6" s="49">
        <v>36</v>
      </c>
      <c r="N6" s="49">
        <v>120</v>
      </c>
      <c r="O6" s="49">
        <v>360</v>
      </c>
      <c r="P6" s="49">
        <v>360</v>
      </c>
      <c r="Q6" s="49">
        <v>540</v>
      </c>
      <c r="R6" s="49">
        <v>600</v>
      </c>
      <c r="S6" s="92">
        <v>720</v>
      </c>
      <c r="T6" s="92">
        <v>900</v>
      </c>
      <c r="U6" s="92">
        <v>600</v>
      </c>
      <c r="V6" s="92">
        <v>600</v>
      </c>
      <c r="W6" s="92">
        <v>480</v>
      </c>
      <c r="X6" s="92">
        <v>252</v>
      </c>
      <c r="Y6" s="123">
        <v>336</v>
      </c>
      <c r="Z6" s="123"/>
      <c r="AA6" s="85"/>
    </row>
    <row r="7" spans="2:27" hidden="1" x14ac:dyDescent="0.25">
      <c r="B7" s="82" t="s">
        <v>609</v>
      </c>
      <c r="C7" s="82">
        <f t="shared" si="0"/>
        <v>4</v>
      </c>
      <c r="D7" s="81" t="s">
        <v>8</v>
      </c>
      <c r="E7" s="81" t="s">
        <v>308</v>
      </c>
      <c r="F7" s="81" t="s">
        <v>632</v>
      </c>
      <c r="G7" s="82" t="s">
        <v>9</v>
      </c>
      <c r="H7" s="87">
        <v>4873041</v>
      </c>
      <c r="I7" s="83" t="s">
        <v>239</v>
      </c>
      <c r="J7" s="83"/>
      <c r="K7" s="83"/>
      <c r="L7" s="84"/>
      <c r="M7" s="84">
        <v>90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6"/>
    </row>
    <row r="8" spans="2:27" hidden="1" x14ac:dyDescent="0.25">
      <c r="B8" s="82" t="s">
        <v>609</v>
      </c>
      <c r="C8" s="82">
        <f t="shared" si="0"/>
        <v>5</v>
      </c>
      <c r="D8" s="81" t="s">
        <v>12</v>
      </c>
      <c r="E8" s="81" t="s">
        <v>308</v>
      </c>
      <c r="F8" s="81" t="s">
        <v>632</v>
      </c>
      <c r="G8" s="82" t="s">
        <v>10</v>
      </c>
      <c r="H8" s="87">
        <v>3041365780</v>
      </c>
      <c r="I8" s="83"/>
      <c r="J8" s="83" t="s">
        <v>116</v>
      </c>
      <c r="K8" s="83"/>
      <c r="L8" s="84"/>
      <c r="M8" s="84">
        <v>70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6"/>
    </row>
    <row r="9" spans="2:27" hidden="1" x14ac:dyDescent="0.25">
      <c r="B9" s="82" t="s">
        <v>609</v>
      </c>
      <c r="C9" s="82">
        <f t="shared" si="0"/>
        <v>6</v>
      </c>
      <c r="D9" s="81" t="s">
        <v>8</v>
      </c>
      <c r="E9" s="81" t="s">
        <v>308</v>
      </c>
      <c r="F9" s="81" t="s">
        <v>632</v>
      </c>
      <c r="G9" s="82" t="s">
        <v>11</v>
      </c>
      <c r="H9" s="87">
        <v>3176365583</v>
      </c>
      <c r="I9" s="83" t="s">
        <v>239</v>
      </c>
      <c r="J9" s="83"/>
      <c r="K9" s="83"/>
      <c r="L9" s="84"/>
      <c r="M9" s="84">
        <v>113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6"/>
    </row>
    <row r="10" spans="2:27" x14ac:dyDescent="0.25">
      <c r="B10" s="45" t="s">
        <v>608</v>
      </c>
      <c r="C10" s="45">
        <f t="shared" si="0"/>
        <v>7</v>
      </c>
      <c r="D10" s="44" t="s">
        <v>49</v>
      </c>
      <c r="E10" s="44" t="s">
        <v>313</v>
      </c>
      <c r="F10" s="44" t="s">
        <v>311</v>
      </c>
      <c r="G10" s="45" t="s">
        <v>151</v>
      </c>
      <c r="H10" s="47" t="s">
        <v>373</v>
      </c>
      <c r="I10" s="48" t="s">
        <v>149</v>
      </c>
      <c r="J10" s="48" t="s">
        <v>152</v>
      </c>
      <c r="K10" s="48"/>
      <c r="L10" s="22">
        <v>360</v>
      </c>
      <c r="M10" s="22">
        <v>420</v>
      </c>
      <c r="N10" s="22">
        <v>396</v>
      </c>
      <c r="O10" s="49">
        <v>600</v>
      </c>
      <c r="P10" s="49">
        <v>540</v>
      </c>
      <c r="Q10" s="49">
        <v>480</v>
      </c>
      <c r="R10" s="49">
        <v>720</v>
      </c>
      <c r="S10" s="92">
        <v>660</v>
      </c>
      <c r="T10" s="92">
        <v>600</v>
      </c>
      <c r="U10" s="92">
        <v>780</v>
      </c>
      <c r="V10" s="92">
        <v>2280</v>
      </c>
      <c r="W10" s="92">
        <v>420</v>
      </c>
      <c r="X10" s="92">
        <v>480</v>
      </c>
      <c r="Y10" s="123">
        <v>600</v>
      </c>
      <c r="Z10" s="123"/>
      <c r="AA10" s="85"/>
    </row>
    <row r="11" spans="2:27" x14ac:dyDescent="0.25">
      <c r="B11" s="45" t="s">
        <v>608</v>
      </c>
      <c r="C11" s="45">
        <f t="shared" si="0"/>
        <v>8</v>
      </c>
      <c r="D11" s="44" t="s">
        <v>49</v>
      </c>
      <c r="E11" s="44" t="s">
        <v>313</v>
      </c>
      <c r="F11" s="44" t="s">
        <v>311</v>
      </c>
      <c r="G11" s="45" t="s">
        <v>153</v>
      </c>
      <c r="H11" s="47" t="s">
        <v>374</v>
      </c>
      <c r="I11" s="48" t="s">
        <v>154</v>
      </c>
      <c r="J11" s="48" t="s">
        <v>155</v>
      </c>
      <c r="K11" s="48"/>
      <c r="L11" s="22">
        <v>480</v>
      </c>
      <c r="M11" s="22">
        <v>504</v>
      </c>
      <c r="N11" s="22">
        <v>528</v>
      </c>
      <c r="O11" s="49">
        <v>1320</v>
      </c>
      <c r="P11" s="49">
        <v>1200</v>
      </c>
      <c r="Q11" s="49">
        <v>1200</v>
      </c>
      <c r="R11" s="49">
        <v>1320</v>
      </c>
      <c r="S11" s="92">
        <v>1380</v>
      </c>
      <c r="T11" s="92">
        <v>1200</v>
      </c>
      <c r="U11" s="92">
        <v>1620</v>
      </c>
      <c r="V11" s="92">
        <v>1320</v>
      </c>
      <c r="W11" s="92">
        <v>504</v>
      </c>
      <c r="X11" s="92">
        <v>1320</v>
      </c>
      <c r="Y11" s="123">
        <v>1320</v>
      </c>
      <c r="Z11" s="123"/>
      <c r="AA11" s="85"/>
    </row>
    <row r="12" spans="2:27" x14ac:dyDescent="0.25">
      <c r="B12" s="45" t="s">
        <v>608</v>
      </c>
      <c r="C12" s="45">
        <f t="shared" si="0"/>
        <v>9</v>
      </c>
      <c r="D12" s="44" t="s">
        <v>49</v>
      </c>
      <c r="E12" s="44" t="s">
        <v>313</v>
      </c>
      <c r="F12" s="44" t="s">
        <v>311</v>
      </c>
      <c r="G12" s="45" t="s">
        <v>156</v>
      </c>
      <c r="H12" s="47" t="s">
        <v>375</v>
      </c>
      <c r="I12" s="48" t="s">
        <v>175</v>
      </c>
      <c r="J12" s="48" t="s">
        <v>157</v>
      </c>
      <c r="K12" s="48"/>
      <c r="L12" s="22">
        <v>540</v>
      </c>
      <c r="M12" s="22">
        <v>552</v>
      </c>
      <c r="N12" s="22">
        <v>576</v>
      </c>
      <c r="O12" s="49">
        <v>1440</v>
      </c>
      <c r="P12" s="49">
        <v>1200</v>
      </c>
      <c r="Q12" s="49">
        <v>1080</v>
      </c>
      <c r="R12" s="49">
        <v>1140</v>
      </c>
      <c r="S12" s="92">
        <v>1200</v>
      </c>
      <c r="T12" s="92">
        <v>1080</v>
      </c>
      <c r="U12" s="92">
        <v>960</v>
      </c>
      <c r="V12" s="92">
        <v>600</v>
      </c>
      <c r="W12" s="92">
        <v>552</v>
      </c>
      <c r="X12" s="92">
        <v>1140</v>
      </c>
      <c r="Y12" s="123">
        <v>960</v>
      </c>
      <c r="Z12" s="123"/>
      <c r="AA12" s="85"/>
    </row>
    <row r="13" spans="2:27" x14ac:dyDescent="0.25">
      <c r="B13" s="45" t="s">
        <v>608</v>
      </c>
      <c r="C13" s="45">
        <f t="shared" si="0"/>
        <v>10</v>
      </c>
      <c r="D13" s="44" t="s">
        <v>49</v>
      </c>
      <c r="E13" s="44" t="s">
        <v>313</v>
      </c>
      <c r="F13" s="44" t="s">
        <v>311</v>
      </c>
      <c r="G13" s="45" t="s">
        <v>320</v>
      </c>
      <c r="H13" s="47">
        <v>6627676</v>
      </c>
      <c r="I13" s="48" t="s">
        <v>149</v>
      </c>
      <c r="J13" s="48" t="s">
        <v>161</v>
      </c>
      <c r="K13" s="48"/>
      <c r="L13" s="22">
        <v>300</v>
      </c>
      <c r="M13" s="22">
        <v>324</v>
      </c>
      <c r="N13" s="22">
        <v>336</v>
      </c>
      <c r="O13" s="49">
        <v>780</v>
      </c>
      <c r="P13" s="49">
        <v>720</v>
      </c>
      <c r="Q13" s="49">
        <v>780</v>
      </c>
      <c r="R13" s="49">
        <v>840</v>
      </c>
      <c r="S13" s="92">
        <v>780</v>
      </c>
      <c r="T13" s="92">
        <v>780</v>
      </c>
      <c r="U13" s="92">
        <v>1200</v>
      </c>
      <c r="V13" s="92">
        <v>1440</v>
      </c>
      <c r="W13" s="92">
        <v>324</v>
      </c>
      <c r="X13" s="92">
        <v>780</v>
      </c>
      <c r="Y13" s="123">
        <v>1200</v>
      </c>
      <c r="Z13" s="123"/>
      <c r="AA13" s="85"/>
    </row>
    <row r="14" spans="2:27" x14ac:dyDescent="0.25">
      <c r="B14" s="45" t="s">
        <v>608</v>
      </c>
      <c r="C14" s="45">
        <f t="shared" si="0"/>
        <v>11</v>
      </c>
      <c r="D14" s="44" t="s">
        <v>49</v>
      </c>
      <c r="E14" s="44" t="s">
        <v>313</v>
      </c>
      <c r="F14" s="44" t="s">
        <v>311</v>
      </c>
      <c r="G14" s="45" t="s">
        <v>312</v>
      </c>
      <c r="H14" s="47">
        <v>6629305</v>
      </c>
      <c r="I14" s="48" t="s">
        <v>149</v>
      </c>
      <c r="J14" s="48" t="s">
        <v>162</v>
      </c>
      <c r="K14" s="48"/>
      <c r="L14" s="22">
        <f>26*12</f>
        <v>312</v>
      </c>
      <c r="M14" s="22">
        <v>348</v>
      </c>
      <c r="N14" s="22">
        <v>360</v>
      </c>
      <c r="O14" s="49">
        <v>1440</v>
      </c>
      <c r="P14" s="49">
        <v>1200</v>
      </c>
      <c r="Q14" s="49">
        <v>1104</v>
      </c>
      <c r="R14" s="49">
        <v>1200</v>
      </c>
      <c r="S14" s="92">
        <v>1104</v>
      </c>
      <c r="T14" s="92">
        <v>1104</v>
      </c>
      <c r="U14" s="92">
        <v>2760</v>
      </c>
      <c r="V14" s="92">
        <v>2400</v>
      </c>
      <c r="W14" s="92">
        <v>348</v>
      </c>
      <c r="X14" s="92">
        <v>1104</v>
      </c>
      <c r="Y14" s="123">
        <v>2400</v>
      </c>
      <c r="Z14" s="123"/>
      <c r="AA14" s="85"/>
    </row>
    <row r="15" spans="2:27" x14ac:dyDescent="0.25">
      <c r="B15" s="45" t="s">
        <v>608</v>
      </c>
      <c r="C15" s="45">
        <f t="shared" si="0"/>
        <v>12</v>
      </c>
      <c r="D15" s="44" t="s">
        <v>49</v>
      </c>
      <c r="E15" s="44" t="s">
        <v>313</v>
      </c>
      <c r="F15" s="44" t="s">
        <v>311</v>
      </c>
      <c r="G15" s="45" t="s">
        <v>158</v>
      </c>
      <c r="H15" s="47">
        <v>4416350</v>
      </c>
      <c r="I15" s="48" t="s">
        <v>149</v>
      </c>
      <c r="J15" s="48" t="s">
        <v>163</v>
      </c>
      <c r="K15" s="48"/>
      <c r="L15" s="22">
        <v>384</v>
      </c>
      <c r="M15" s="22">
        <v>396</v>
      </c>
      <c r="N15" s="22">
        <v>408</v>
      </c>
      <c r="O15" s="49">
        <v>660</v>
      </c>
      <c r="P15" s="49">
        <v>480</v>
      </c>
      <c r="Q15" s="49">
        <v>540</v>
      </c>
      <c r="R15" s="49">
        <v>600</v>
      </c>
      <c r="S15" s="92">
        <v>540</v>
      </c>
      <c r="T15" s="92">
        <v>660</v>
      </c>
      <c r="U15" s="92">
        <v>780</v>
      </c>
      <c r="V15" s="92">
        <v>600</v>
      </c>
      <c r="W15" s="92">
        <v>396</v>
      </c>
      <c r="X15" s="92">
        <v>660</v>
      </c>
      <c r="Y15" s="123">
        <v>660</v>
      </c>
      <c r="Z15" s="123"/>
      <c r="AA15" s="85"/>
    </row>
    <row r="16" spans="2:27" x14ac:dyDescent="0.25">
      <c r="B16" s="45" t="s">
        <v>608</v>
      </c>
      <c r="C16" s="45">
        <f t="shared" si="0"/>
        <v>13</v>
      </c>
      <c r="D16" s="44" t="s">
        <v>49</v>
      </c>
      <c r="E16" s="44" t="s">
        <v>313</v>
      </c>
      <c r="F16" s="44" t="s">
        <v>311</v>
      </c>
      <c r="G16" s="45" t="s">
        <v>159</v>
      </c>
      <c r="H16" s="47">
        <v>4263073</v>
      </c>
      <c r="I16" s="48" t="s">
        <v>160</v>
      </c>
      <c r="J16" s="48" t="s">
        <v>164</v>
      </c>
      <c r="K16" s="48"/>
      <c r="L16" s="22">
        <f>26*12</f>
        <v>312</v>
      </c>
      <c r="M16" s="22">
        <v>348</v>
      </c>
      <c r="N16" s="22">
        <v>348</v>
      </c>
      <c r="O16" s="49">
        <v>1440</v>
      </c>
      <c r="P16" s="49">
        <v>1080</v>
      </c>
      <c r="Q16" s="49">
        <v>1080</v>
      </c>
      <c r="R16" s="49">
        <v>1140</v>
      </c>
      <c r="S16" s="92">
        <v>1080</v>
      </c>
      <c r="T16" s="92">
        <v>1440</v>
      </c>
      <c r="U16" s="92">
        <v>1680</v>
      </c>
      <c r="V16" s="92">
        <v>1440</v>
      </c>
      <c r="W16" s="92">
        <v>348</v>
      </c>
      <c r="X16" s="92">
        <v>1440</v>
      </c>
      <c r="Y16" s="123">
        <v>1440</v>
      </c>
      <c r="Z16" s="123"/>
      <c r="AA16" s="85"/>
    </row>
    <row r="17" spans="2:27" x14ac:dyDescent="0.25">
      <c r="B17" s="45" t="s">
        <v>608</v>
      </c>
      <c r="C17" s="45">
        <f t="shared" si="0"/>
        <v>14</v>
      </c>
      <c r="D17" s="44" t="s">
        <v>49</v>
      </c>
      <c r="E17" s="44" t="s">
        <v>313</v>
      </c>
      <c r="F17" s="44" t="s">
        <v>311</v>
      </c>
      <c r="G17" s="45" t="s">
        <v>14</v>
      </c>
      <c r="H17" s="47">
        <v>4471825</v>
      </c>
      <c r="I17" s="48" t="s">
        <v>177</v>
      </c>
      <c r="J17" s="48" t="s">
        <v>165</v>
      </c>
      <c r="K17" s="48"/>
      <c r="L17" s="22">
        <v>1200</v>
      </c>
      <c r="M17" s="22">
        <v>1248</v>
      </c>
      <c r="N17" s="22">
        <v>1320</v>
      </c>
      <c r="O17" s="49">
        <v>2160</v>
      </c>
      <c r="P17" s="49">
        <v>2280</v>
      </c>
      <c r="Q17" s="49">
        <v>2040</v>
      </c>
      <c r="R17" s="49">
        <v>2280</v>
      </c>
      <c r="S17" s="92">
        <v>2280</v>
      </c>
      <c r="T17" s="92">
        <v>2040</v>
      </c>
      <c r="U17" s="92">
        <v>1800</v>
      </c>
      <c r="V17" s="92">
        <v>2160</v>
      </c>
      <c r="W17" s="92">
        <v>1152</v>
      </c>
      <c r="X17" s="92">
        <v>2160</v>
      </c>
      <c r="Y17" s="123">
        <v>2160</v>
      </c>
      <c r="Z17" s="123"/>
      <c r="AA17" s="85"/>
    </row>
    <row r="18" spans="2:27" x14ac:dyDescent="0.25">
      <c r="B18" s="45" t="s">
        <v>608</v>
      </c>
      <c r="C18" s="45">
        <f t="shared" si="0"/>
        <v>15</v>
      </c>
      <c r="D18" s="44" t="s">
        <v>49</v>
      </c>
      <c r="E18" s="44" t="s">
        <v>313</v>
      </c>
      <c r="F18" s="44" t="s">
        <v>311</v>
      </c>
      <c r="G18" s="45" t="s">
        <v>15</v>
      </c>
      <c r="H18" s="47">
        <v>4489216</v>
      </c>
      <c r="I18" s="48" t="s">
        <v>160</v>
      </c>
      <c r="J18" s="48" t="s">
        <v>166</v>
      </c>
      <c r="K18" s="48"/>
      <c r="L18" s="22">
        <v>720</v>
      </c>
      <c r="M18" s="22">
        <v>744</v>
      </c>
      <c r="N18" s="22">
        <v>756</v>
      </c>
      <c r="O18" s="49">
        <v>1260</v>
      </c>
      <c r="P18" s="49">
        <v>1320</v>
      </c>
      <c r="Q18" s="49">
        <v>1200</v>
      </c>
      <c r="R18" s="49">
        <v>1260</v>
      </c>
      <c r="S18" s="92">
        <v>1320</v>
      </c>
      <c r="T18" s="92">
        <v>1320</v>
      </c>
      <c r="U18" s="92">
        <v>2400</v>
      </c>
      <c r="V18" s="92">
        <v>1260</v>
      </c>
      <c r="W18" s="92">
        <v>780</v>
      </c>
      <c r="X18" s="92">
        <v>1200</v>
      </c>
      <c r="Y18" s="123">
        <v>2400</v>
      </c>
      <c r="Z18" s="123"/>
      <c r="AA18" s="85"/>
    </row>
    <row r="19" spans="2:27" x14ac:dyDescent="0.25">
      <c r="B19" s="45" t="s">
        <v>608</v>
      </c>
      <c r="C19" s="45">
        <f t="shared" si="0"/>
        <v>16</v>
      </c>
      <c r="D19" s="44" t="s">
        <v>12</v>
      </c>
      <c r="E19" s="44" t="s">
        <v>313</v>
      </c>
      <c r="F19" s="44" t="s">
        <v>311</v>
      </c>
      <c r="G19" s="45" t="s">
        <v>16</v>
      </c>
      <c r="H19" s="47" t="s">
        <v>17</v>
      </c>
      <c r="I19" s="48" t="s">
        <v>175</v>
      </c>
      <c r="J19" s="48" t="s">
        <v>17</v>
      </c>
      <c r="K19" s="48"/>
      <c r="L19" s="22">
        <v>144</v>
      </c>
      <c r="M19" s="22">
        <v>144</v>
      </c>
      <c r="N19" s="22">
        <v>144</v>
      </c>
      <c r="O19" s="49">
        <v>600</v>
      </c>
      <c r="P19" s="49">
        <v>600</v>
      </c>
      <c r="Q19" s="49">
        <v>480</v>
      </c>
      <c r="R19" s="49">
        <v>480</v>
      </c>
      <c r="S19" s="92">
        <v>480</v>
      </c>
      <c r="T19" s="92">
        <v>480</v>
      </c>
      <c r="U19" s="92">
        <v>1080</v>
      </c>
      <c r="V19" s="92">
        <v>480</v>
      </c>
      <c r="W19" s="92">
        <v>1200</v>
      </c>
      <c r="X19" s="92">
        <v>480</v>
      </c>
      <c r="Y19" s="123">
        <v>1200</v>
      </c>
      <c r="Z19" s="123"/>
      <c r="AA19" s="85"/>
    </row>
    <row r="20" spans="2:27" x14ac:dyDescent="0.25">
      <c r="B20" s="45" t="s">
        <v>608</v>
      </c>
      <c r="C20" s="45">
        <f t="shared" si="0"/>
        <v>17</v>
      </c>
      <c r="D20" s="44" t="s">
        <v>12</v>
      </c>
      <c r="E20" s="44" t="s">
        <v>313</v>
      </c>
      <c r="F20" s="44" t="s">
        <v>311</v>
      </c>
      <c r="G20" s="45" t="s">
        <v>18</v>
      </c>
      <c r="H20" s="47" t="s">
        <v>17</v>
      </c>
      <c r="I20" s="48" t="s">
        <v>176</v>
      </c>
      <c r="J20" s="48" t="s">
        <v>167</v>
      </c>
      <c r="K20" s="48"/>
      <c r="L20" s="22">
        <v>264</v>
      </c>
      <c r="M20" s="22">
        <v>264</v>
      </c>
      <c r="N20" s="22">
        <v>276</v>
      </c>
      <c r="O20" s="49">
        <v>1200</v>
      </c>
      <c r="P20" s="49">
        <v>1440</v>
      </c>
      <c r="Q20" s="49">
        <v>1200</v>
      </c>
      <c r="R20" s="49">
        <v>1440</v>
      </c>
      <c r="S20" s="92">
        <v>1440</v>
      </c>
      <c r="T20" s="92">
        <v>1200</v>
      </c>
      <c r="U20" s="92">
        <v>840</v>
      </c>
      <c r="V20" s="92">
        <v>840</v>
      </c>
      <c r="W20" s="92">
        <v>288</v>
      </c>
      <c r="X20" s="92">
        <v>1200</v>
      </c>
      <c r="Y20" s="123">
        <v>840</v>
      </c>
      <c r="Z20" s="123"/>
      <c r="AA20" s="85"/>
    </row>
    <row r="21" spans="2:27" x14ac:dyDescent="0.25">
      <c r="B21" s="45" t="s">
        <v>608</v>
      </c>
      <c r="C21" s="45">
        <f t="shared" si="0"/>
        <v>18</v>
      </c>
      <c r="D21" s="44" t="s">
        <v>168</v>
      </c>
      <c r="E21" s="44" t="s">
        <v>313</v>
      </c>
      <c r="F21" s="44" t="s">
        <v>311</v>
      </c>
      <c r="G21" s="45" t="s">
        <v>169</v>
      </c>
      <c r="H21" s="47">
        <v>2433412</v>
      </c>
      <c r="I21" s="48" t="s">
        <v>172</v>
      </c>
      <c r="J21" s="48" t="s">
        <v>170</v>
      </c>
      <c r="K21" s="48"/>
      <c r="L21" s="22">
        <v>576</v>
      </c>
      <c r="M21" s="22">
        <v>576</v>
      </c>
      <c r="N21" s="22">
        <v>744</v>
      </c>
      <c r="O21" s="49">
        <v>2244</v>
      </c>
      <c r="P21" s="49">
        <v>2400</v>
      </c>
      <c r="Q21" s="49">
        <v>2040</v>
      </c>
      <c r="R21" s="49">
        <v>2400</v>
      </c>
      <c r="S21" s="92">
        <v>3600</v>
      </c>
      <c r="T21" s="92">
        <v>2700</v>
      </c>
      <c r="U21" s="92">
        <v>3000</v>
      </c>
      <c r="V21" s="92">
        <v>2400</v>
      </c>
      <c r="W21" s="92">
        <v>660</v>
      </c>
      <c r="X21" s="92">
        <v>2040</v>
      </c>
      <c r="Y21" s="123">
        <v>2040</v>
      </c>
      <c r="Z21" s="123"/>
      <c r="AA21" s="85"/>
    </row>
    <row r="22" spans="2:27" x14ac:dyDescent="0.25">
      <c r="B22" s="45" t="s">
        <v>608</v>
      </c>
      <c r="C22" s="45">
        <f t="shared" si="0"/>
        <v>19</v>
      </c>
      <c r="D22" s="44" t="s">
        <v>168</v>
      </c>
      <c r="E22" s="44" t="s">
        <v>313</v>
      </c>
      <c r="F22" s="44" t="s">
        <v>311</v>
      </c>
      <c r="G22" s="45" t="s">
        <v>78</v>
      </c>
      <c r="H22" s="47">
        <v>2416300</v>
      </c>
      <c r="I22" s="48" t="s">
        <v>149</v>
      </c>
      <c r="J22" s="48" t="s">
        <v>171</v>
      </c>
      <c r="K22" s="48"/>
      <c r="L22" s="22">
        <v>144</v>
      </c>
      <c r="M22" s="22">
        <v>144</v>
      </c>
      <c r="N22" s="22">
        <v>168</v>
      </c>
      <c r="O22" s="49">
        <v>480</v>
      </c>
      <c r="P22" s="49">
        <v>600</v>
      </c>
      <c r="Q22" s="49">
        <v>540</v>
      </c>
      <c r="R22" s="49">
        <v>168</v>
      </c>
      <c r="S22" s="92">
        <v>780</v>
      </c>
      <c r="T22" s="92">
        <v>540</v>
      </c>
      <c r="U22" s="92">
        <v>660</v>
      </c>
      <c r="V22" s="92">
        <v>480</v>
      </c>
      <c r="W22" s="92">
        <v>144</v>
      </c>
      <c r="X22" s="92">
        <v>540</v>
      </c>
      <c r="Y22" s="123">
        <v>540</v>
      </c>
      <c r="Z22" s="123"/>
      <c r="AA22" s="85"/>
    </row>
    <row r="23" spans="2:27" x14ac:dyDescent="0.25">
      <c r="B23" s="45" t="s">
        <v>608</v>
      </c>
      <c r="C23" s="45">
        <f t="shared" si="0"/>
        <v>20</v>
      </c>
      <c r="D23" s="44" t="s">
        <v>32</v>
      </c>
      <c r="E23" s="44" t="s">
        <v>308</v>
      </c>
      <c r="F23" s="44" t="s">
        <v>314</v>
      </c>
      <c r="G23" s="45" t="s">
        <v>31</v>
      </c>
      <c r="H23" s="47" t="s">
        <v>19</v>
      </c>
      <c r="I23" s="48"/>
      <c r="J23" s="48" t="s">
        <v>196</v>
      </c>
      <c r="K23" s="48"/>
      <c r="L23" s="49">
        <v>12</v>
      </c>
      <c r="M23" s="49">
        <v>14</v>
      </c>
      <c r="N23" s="49">
        <v>14</v>
      </c>
      <c r="O23" s="49">
        <v>36</v>
      </c>
      <c r="P23" s="49">
        <v>30</v>
      </c>
      <c r="Q23" s="49">
        <v>27</v>
      </c>
      <c r="R23" s="49">
        <v>36</v>
      </c>
      <c r="S23" s="92">
        <v>32</v>
      </c>
      <c r="T23" s="92">
        <v>36</v>
      </c>
      <c r="U23" s="92">
        <v>21</v>
      </c>
      <c r="V23" s="92">
        <v>39</v>
      </c>
      <c r="W23" s="92">
        <v>48</v>
      </c>
      <c r="X23" s="92">
        <v>40</v>
      </c>
      <c r="Y23" s="123">
        <v>36</v>
      </c>
      <c r="Z23" s="123"/>
      <c r="AA23" s="85"/>
    </row>
    <row r="24" spans="2:27" x14ac:dyDescent="0.25">
      <c r="B24" s="45" t="s">
        <v>608</v>
      </c>
      <c r="C24" s="45">
        <f t="shared" si="0"/>
        <v>21</v>
      </c>
      <c r="D24" s="44" t="s">
        <v>32</v>
      </c>
      <c r="E24" s="44" t="s">
        <v>313</v>
      </c>
      <c r="F24" s="44" t="s">
        <v>314</v>
      </c>
      <c r="G24" s="45" t="s">
        <v>33</v>
      </c>
      <c r="H24" s="47" t="s">
        <v>20</v>
      </c>
      <c r="I24" s="48" t="s">
        <v>301</v>
      </c>
      <c r="J24" s="48" t="s">
        <v>197</v>
      </c>
      <c r="K24" s="48"/>
      <c r="L24" s="49">
        <v>72</v>
      </c>
      <c r="M24" s="49">
        <v>312</v>
      </c>
      <c r="N24" s="49">
        <f>25*12</f>
        <v>300</v>
      </c>
      <c r="O24" s="49">
        <f>22*12</f>
        <v>264</v>
      </c>
      <c r="P24" s="49">
        <v>250</v>
      </c>
      <c r="Q24" s="49">
        <v>225</v>
      </c>
      <c r="R24" s="49">
        <v>230</v>
      </c>
      <c r="S24" s="92">
        <v>192</v>
      </c>
      <c r="T24" s="92">
        <v>312</v>
      </c>
      <c r="U24" s="92">
        <v>228</v>
      </c>
      <c r="V24" s="92">
        <v>264</v>
      </c>
      <c r="W24" s="92">
        <v>168</v>
      </c>
      <c r="X24" s="92">
        <v>230</v>
      </c>
      <c r="Y24" s="123">
        <v>324</v>
      </c>
      <c r="Z24" s="123"/>
      <c r="AA24" s="85"/>
    </row>
    <row r="25" spans="2:27" x14ac:dyDescent="0.25">
      <c r="B25" s="45" t="s">
        <v>608</v>
      </c>
      <c r="C25" s="45">
        <f t="shared" si="0"/>
        <v>22</v>
      </c>
      <c r="D25" s="44" t="s">
        <v>32</v>
      </c>
      <c r="E25" s="44" t="s">
        <v>313</v>
      </c>
      <c r="F25" s="44" t="s">
        <v>314</v>
      </c>
      <c r="G25" s="45" t="s">
        <v>35</v>
      </c>
      <c r="H25" s="47" t="s">
        <v>21</v>
      </c>
      <c r="I25" s="48" t="s">
        <v>150</v>
      </c>
      <c r="J25" s="48" t="s">
        <v>198</v>
      </c>
      <c r="K25" s="48"/>
      <c r="L25" s="49">
        <v>100</v>
      </c>
      <c r="M25" s="49">
        <v>1560</v>
      </c>
      <c r="N25" s="49">
        <f>260*12</f>
        <v>3120</v>
      </c>
      <c r="O25" s="49">
        <f>265*12</f>
        <v>3180</v>
      </c>
      <c r="P25" s="49">
        <v>3000</v>
      </c>
      <c r="Q25" s="49">
        <v>2700</v>
      </c>
      <c r="R25" s="49">
        <v>3000</v>
      </c>
      <c r="S25" s="92">
        <v>3200</v>
      </c>
      <c r="T25" s="92">
        <v>3600</v>
      </c>
      <c r="U25" s="92">
        <v>2640</v>
      </c>
      <c r="V25" s="92">
        <v>3060</v>
      </c>
      <c r="W25" s="92">
        <v>2430</v>
      </c>
      <c r="X25" s="92">
        <v>2700</v>
      </c>
      <c r="Y25" s="123">
        <v>2160</v>
      </c>
      <c r="Z25" s="123"/>
      <c r="AA25" s="85"/>
    </row>
    <row r="26" spans="2:27" x14ac:dyDescent="0.25">
      <c r="B26" s="45" t="s">
        <v>608</v>
      </c>
      <c r="C26" s="45">
        <f t="shared" si="0"/>
        <v>23</v>
      </c>
      <c r="D26" s="44" t="s">
        <v>32</v>
      </c>
      <c r="E26" s="44" t="s">
        <v>309</v>
      </c>
      <c r="F26" s="44" t="s">
        <v>314</v>
      </c>
      <c r="G26" s="45" t="s">
        <v>34</v>
      </c>
      <c r="H26" s="47">
        <v>2320073</v>
      </c>
      <c r="I26" s="48"/>
      <c r="J26" s="48" t="s">
        <v>199</v>
      </c>
      <c r="K26" s="48"/>
      <c r="L26" s="49">
        <v>36</v>
      </c>
      <c r="M26" s="49">
        <v>108</v>
      </c>
      <c r="N26" s="49">
        <v>250</v>
      </c>
      <c r="O26" s="49">
        <v>250</v>
      </c>
      <c r="P26" s="49">
        <v>250</v>
      </c>
      <c r="Q26" s="49">
        <v>225</v>
      </c>
      <c r="R26" s="49">
        <v>240</v>
      </c>
      <c r="S26" s="92">
        <v>262</v>
      </c>
      <c r="T26" s="92">
        <v>264</v>
      </c>
      <c r="U26" s="92">
        <v>245</v>
      </c>
      <c r="V26" s="92">
        <v>324</v>
      </c>
      <c r="W26" s="92">
        <v>300</v>
      </c>
      <c r="X26" s="92">
        <v>360</v>
      </c>
      <c r="Y26" s="123">
        <v>384</v>
      </c>
      <c r="Z26" s="123"/>
      <c r="AA26" s="85"/>
    </row>
    <row r="27" spans="2:27" x14ac:dyDescent="0.25">
      <c r="B27" s="45" t="s">
        <v>608</v>
      </c>
      <c r="C27" s="45">
        <f t="shared" si="0"/>
        <v>24</v>
      </c>
      <c r="D27" s="44" t="s">
        <v>32</v>
      </c>
      <c r="E27" s="44" t="s">
        <v>313</v>
      </c>
      <c r="F27" s="44" t="s">
        <v>314</v>
      </c>
      <c r="G27" s="45" t="s">
        <v>36</v>
      </c>
      <c r="H27" s="47" t="s">
        <v>22</v>
      </c>
      <c r="I27" s="48" t="s">
        <v>150</v>
      </c>
      <c r="J27" s="48" t="s">
        <v>200</v>
      </c>
      <c r="K27" s="48"/>
      <c r="L27" s="49">
        <f>9*12</f>
        <v>108</v>
      </c>
      <c r="M27" s="49">
        <v>144</v>
      </c>
      <c r="N27" s="49">
        <f>14*12</f>
        <v>168</v>
      </c>
      <c r="O27" s="49">
        <v>168</v>
      </c>
      <c r="P27" s="49">
        <v>170</v>
      </c>
      <c r="Q27" s="49">
        <v>153</v>
      </c>
      <c r="R27" s="49">
        <v>165</v>
      </c>
      <c r="S27" s="92">
        <v>192</v>
      </c>
      <c r="T27" s="92">
        <v>312</v>
      </c>
      <c r="U27" s="92">
        <v>228</v>
      </c>
      <c r="V27" s="92">
        <v>336</v>
      </c>
      <c r="W27" s="92">
        <v>252</v>
      </c>
      <c r="X27" s="92">
        <v>384</v>
      </c>
      <c r="Y27" s="123">
        <v>336</v>
      </c>
      <c r="Z27" s="123"/>
      <c r="AA27" s="85"/>
    </row>
    <row r="28" spans="2:27" x14ac:dyDescent="0.25">
      <c r="B28" s="45" t="s">
        <v>608</v>
      </c>
      <c r="C28" s="45">
        <f t="shared" si="0"/>
        <v>25</v>
      </c>
      <c r="D28" s="44" t="s">
        <v>37</v>
      </c>
      <c r="E28" s="44" t="s">
        <v>313</v>
      </c>
      <c r="F28" s="44" t="s">
        <v>314</v>
      </c>
      <c r="G28" s="45" t="s">
        <v>38</v>
      </c>
      <c r="H28" s="47" t="s">
        <v>23</v>
      </c>
      <c r="I28" s="48" t="s">
        <v>302</v>
      </c>
      <c r="J28" s="48" t="s">
        <v>201</v>
      </c>
      <c r="K28" s="48"/>
      <c r="L28" s="49">
        <f>15*12</f>
        <v>180</v>
      </c>
      <c r="M28" s="49">
        <v>216</v>
      </c>
      <c r="N28" s="49">
        <f>90*12</f>
        <v>1080</v>
      </c>
      <c r="O28" s="49">
        <f>80*12</f>
        <v>960</v>
      </c>
      <c r="P28" s="49">
        <v>500</v>
      </c>
      <c r="Q28" s="49">
        <v>450</v>
      </c>
      <c r="R28" s="49">
        <v>500</v>
      </c>
      <c r="S28" s="92">
        <v>620</v>
      </c>
      <c r="T28" s="92">
        <v>2040</v>
      </c>
      <c r="U28" s="92">
        <v>1800</v>
      </c>
      <c r="V28" s="92">
        <v>1560</v>
      </c>
      <c r="W28" s="92">
        <v>1560</v>
      </c>
      <c r="X28" s="92">
        <v>1500</v>
      </c>
      <c r="Y28" s="123">
        <v>1620</v>
      </c>
      <c r="Z28" s="123"/>
      <c r="AA28" s="85"/>
    </row>
    <row r="29" spans="2:27" x14ac:dyDescent="0.25">
      <c r="B29" s="45" t="s">
        <v>608</v>
      </c>
      <c r="C29" s="45">
        <f t="shared" si="0"/>
        <v>26</v>
      </c>
      <c r="D29" s="44" t="s">
        <v>39</v>
      </c>
      <c r="E29" s="44" t="s">
        <v>313</v>
      </c>
      <c r="F29" s="44" t="s">
        <v>314</v>
      </c>
      <c r="G29" s="45" t="s">
        <v>40</v>
      </c>
      <c r="H29" s="47" t="s">
        <v>24</v>
      </c>
      <c r="I29" s="48" t="s">
        <v>302</v>
      </c>
      <c r="J29" s="48" t="s">
        <v>202</v>
      </c>
      <c r="K29" s="48"/>
      <c r="L29" s="49">
        <f>3*12</f>
        <v>36</v>
      </c>
      <c r="M29" s="49">
        <v>600</v>
      </c>
      <c r="N29" s="49">
        <f>70*12</f>
        <v>840</v>
      </c>
      <c r="O29" s="49">
        <f>72*12</f>
        <v>864</v>
      </c>
      <c r="P29" s="49">
        <v>700</v>
      </c>
      <c r="Q29" s="49">
        <v>630</v>
      </c>
      <c r="R29" s="49">
        <v>750</v>
      </c>
      <c r="S29" s="92">
        <v>936</v>
      </c>
      <c r="T29" s="92">
        <v>1980</v>
      </c>
      <c r="U29" s="92">
        <v>1740</v>
      </c>
      <c r="V29" s="92">
        <v>1800</v>
      </c>
      <c r="W29" s="92">
        <v>1620</v>
      </c>
      <c r="X29" s="92">
        <v>1920</v>
      </c>
      <c r="Y29" s="123">
        <v>1704</v>
      </c>
      <c r="Z29" s="123"/>
      <c r="AA29" s="85"/>
    </row>
    <row r="30" spans="2:27" x14ac:dyDescent="0.25">
      <c r="B30" s="45" t="s">
        <v>608</v>
      </c>
      <c r="C30" s="45">
        <f t="shared" si="0"/>
        <v>27</v>
      </c>
      <c r="D30" s="44" t="s">
        <v>32</v>
      </c>
      <c r="E30" s="44" t="s">
        <v>313</v>
      </c>
      <c r="F30" s="44" t="s">
        <v>314</v>
      </c>
      <c r="G30" s="45" t="s">
        <v>41</v>
      </c>
      <c r="H30" s="47" t="s">
        <v>25</v>
      </c>
      <c r="I30" s="48" t="s">
        <v>150</v>
      </c>
      <c r="J30" s="48" t="s">
        <v>203</v>
      </c>
      <c r="K30" s="48"/>
      <c r="L30" s="49">
        <f>5*12</f>
        <v>60</v>
      </c>
      <c r="M30" s="49">
        <v>180</v>
      </c>
      <c r="N30" s="49">
        <f>18*12</f>
        <v>216</v>
      </c>
      <c r="O30" s="49">
        <f>20*12</f>
        <v>240</v>
      </c>
      <c r="P30" s="49">
        <v>250</v>
      </c>
      <c r="Q30" s="49">
        <v>225</v>
      </c>
      <c r="R30" s="49">
        <v>230</v>
      </c>
      <c r="S30" s="92">
        <v>420</v>
      </c>
      <c r="T30" s="92">
        <v>468</v>
      </c>
      <c r="U30" s="92">
        <v>384</v>
      </c>
      <c r="V30" s="92">
        <v>504</v>
      </c>
      <c r="W30" s="92">
        <v>300</v>
      </c>
      <c r="X30" s="92">
        <v>576</v>
      </c>
      <c r="Y30" s="123">
        <v>420</v>
      </c>
      <c r="Z30" s="123"/>
      <c r="AA30" s="85"/>
    </row>
    <row r="31" spans="2:27" hidden="1" x14ac:dyDescent="0.25">
      <c r="B31" s="30" t="s">
        <v>609</v>
      </c>
      <c r="C31" s="30">
        <f t="shared" si="0"/>
        <v>28</v>
      </c>
      <c r="D31" s="29" t="s">
        <v>32</v>
      </c>
      <c r="E31" s="29" t="s">
        <v>309</v>
      </c>
      <c r="F31" s="29" t="s">
        <v>314</v>
      </c>
      <c r="G31" s="30" t="s">
        <v>42</v>
      </c>
      <c r="H31" s="33" t="s">
        <v>26</v>
      </c>
      <c r="I31" s="31" t="s">
        <v>150</v>
      </c>
      <c r="J31" s="31" t="s">
        <v>204</v>
      </c>
      <c r="K31" s="31"/>
      <c r="L31" s="32">
        <v>0</v>
      </c>
      <c r="M31" s="32">
        <v>0</v>
      </c>
      <c r="N31" s="32"/>
      <c r="O31" s="32"/>
      <c r="P31" s="32"/>
      <c r="Q31" s="32"/>
      <c r="R31" s="32"/>
      <c r="S31" s="84"/>
      <c r="T31" s="84"/>
      <c r="U31" s="84"/>
      <c r="V31" s="84"/>
      <c r="W31" s="84"/>
      <c r="X31" s="84"/>
      <c r="Y31" s="84"/>
      <c r="Z31" s="84"/>
      <c r="AA31" s="86"/>
    </row>
    <row r="32" spans="2:27" x14ac:dyDescent="0.25">
      <c r="B32" s="45" t="s">
        <v>608</v>
      </c>
      <c r="C32" s="45">
        <f t="shared" si="0"/>
        <v>29</v>
      </c>
      <c r="D32" s="44" t="s">
        <v>43</v>
      </c>
      <c r="E32" s="44" t="s">
        <v>309</v>
      </c>
      <c r="F32" s="44" t="s">
        <v>314</v>
      </c>
      <c r="G32" s="45" t="s">
        <v>44</v>
      </c>
      <c r="H32" s="47" t="s">
        <v>27</v>
      </c>
      <c r="I32" s="48" t="s">
        <v>150</v>
      </c>
      <c r="J32" s="48" t="s">
        <v>205</v>
      </c>
      <c r="K32" s="48"/>
      <c r="L32" s="49">
        <f>5*12</f>
        <v>60</v>
      </c>
      <c r="M32" s="49">
        <v>96</v>
      </c>
      <c r="N32" s="49">
        <f>13*12</f>
        <v>156</v>
      </c>
      <c r="O32" s="49">
        <f>15*12</f>
        <v>180</v>
      </c>
      <c r="P32" s="49">
        <v>160</v>
      </c>
      <c r="Q32" s="49">
        <v>144</v>
      </c>
      <c r="R32" s="49">
        <v>155</v>
      </c>
      <c r="S32" s="92">
        <v>204</v>
      </c>
      <c r="T32" s="92">
        <v>240</v>
      </c>
      <c r="U32" s="92">
        <v>240</v>
      </c>
      <c r="V32" s="92">
        <v>216</v>
      </c>
      <c r="W32" s="92">
        <v>264</v>
      </c>
      <c r="X32" s="92">
        <v>240</v>
      </c>
      <c r="Y32" s="123">
        <v>252</v>
      </c>
      <c r="Z32" s="123"/>
      <c r="AA32" s="85"/>
    </row>
    <row r="33" spans="2:27" x14ac:dyDescent="0.25">
      <c r="B33" s="45" t="s">
        <v>608</v>
      </c>
      <c r="C33" s="45">
        <f t="shared" si="0"/>
        <v>30</v>
      </c>
      <c r="D33" s="44" t="s">
        <v>45</v>
      </c>
      <c r="E33" s="44" t="s">
        <v>313</v>
      </c>
      <c r="F33" s="44" t="s">
        <v>314</v>
      </c>
      <c r="G33" s="45" t="s">
        <v>46</v>
      </c>
      <c r="H33" s="47" t="s">
        <v>28</v>
      </c>
      <c r="I33" s="48" t="s">
        <v>150</v>
      </c>
      <c r="J33" s="48" t="s">
        <v>206</v>
      </c>
      <c r="K33" s="48"/>
      <c r="L33" s="49">
        <f>2*12</f>
        <v>24</v>
      </c>
      <c r="M33" s="49">
        <v>36</v>
      </c>
      <c r="N33" s="49">
        <v>40</v>
      </c>
      <c r="O33" s="49">
        <v>40</v>
      </c>
      <c r="P33" s="49">
        <v>180</v>
      </c>
      <c r="Q33" s="49">
        <v>162</v>
      </c>
      <c r="R33" s="49">
        <v>175</v>
      </c>
      <c r="S33" s="92">
        <v>156</v>
      </c>
      <c r="T33" s="92">
        <v>180</v>
      </c>
      <c r="U33" s="92">
        <v>144</v>
      </c>
      <c r="V33" s="92">
        <v>108</v>
      </c>
      <c r="W33" s="92">
        <v>108</v>
      </c>
      <c r="X33" s="92">
        <v>132</v>
      </c>
      <c r="Y33" s="123">
        <v>120</v>
      </c>
      <c r="Z33" s="123"/>
      <c r="AA33" s="85"/>
    </row>
    <row r="34" spans="2:27" x14ac:dyDescent="0.25">
      <c r="B34" s="45" t="s">
        <v>608</v>
      </c>
      <c r="C34" s="45">
        <f t="shared" si="0"/>
        <v>31</v>
      </c>
      <c r="D34" s="44" t="s">
        <v>32</v>
      </c>
      <c r="E34" s="44" t="s">
        <v>308</v>
      </c>
      <c r="F34" s="44" t="s">
        <v>314</v>
      </c>
      <c r="G34" s="45" t="s">
        <v>47</v>
      </c>
      <c r="H34" s="47" t="s">
        <v>29</v>
      </c>
      <c r="I34" s="48" t="s">
        <v>303</v>
      </c>
      <c r="J34" s="48" t="s">
        <v>207</v>
      </c>
      <c r="K34" s="48"/>
      <c r="L34" s="49">
        <v>6</v>
      </c>
      <c r="M34" s="49">
        <v>12</v>
      </c>
      <c r="N34" s="49">
        <v>12</v>
      </c>
      <c r="O34" s="49">
        <v>12</v>
      </c>
      <c r="P34" s="49">
        <v>12</v>
      </c>
      <c r="Q34" s="49">
        <v>10</v>
      </c>
      <c r="R34" s="49">
        <v>12</v>
      </c>
      <c r="S34" s="92">
        <v>16</v>
      </c>
      <c r="T34" s="92">
        <v>16</v>
      </c>
      <c r="U34" s="92">
        <v>12</v>
      </c>
      <c r="V34" s="92">
        <v>8</v>
      </c>
      <c r="W34" s="92">
        <v>16</v>
      </c>
      <c r="X34" s="92">
        <v>10</v>
      </c>
      <c r="Y34" s="123">
        <v>17</v>
      </c>
      <c r="Z34" s="123"/>
      <c r="AA34" s="85"/>
    </row>
    <row r="35" spans="2:27" x14ac:dyDescent="0.25">
      <c r="B35" s="45" t="s">
        <v>608</v>
      </c>
      <c r="C35" s="45">
        <f t="shared" si="0"/>
        <v>32</v>
      </c>
      <c r="D35" s="44" t="s">
        <v>32</v>
      </c>
      <c r="E35" s="44" t="s">
        <v>309</v>
      </c>
      <c r="F35" s="44" t="s">
        <v>314</v>
      </c>
      <c r="G35" s="45" t="s">
        <v>48</v>
      </c>
      <c r="H35" s="47" t="s">
        <v>30</v>
      </c>
      <c r="I35" s="48"/>
      <c r="J35" s="48" t="s">
        <v>208</v>
      </c>
      <c r="K35" s="48"/>
      <c r="L35" s="49">
        <f>4*12</f>
        <v>48</v>
      </c>
      <c r="M35" s="49">
        <v>144</v>
      </c>
      <c r="N35" s="49">
        <f>14*12</f>
        <v>168</v>
      </c>
      <c r="O35" s="49">
        <f>15*12</f>
        <v>180</v>
      </c>
      <c r="P35" s="49">
        <v>170</v>
      </c>
      <c r="Q35" s="49">
        <v>153</v>
      </c>
      <c r="R35" s="49">
        <v>175</v>
      </c>
      <c r="S35" s="92">
        <v>192</v>
      </c>
      <c r="T35" s="92">
        <v>216</v>
      </c>
      <c r="U35" s="92">
        <v>180</v>
      </c>
      <c r="V35" s="92">
        <v>192</v>
      </c>
      <c r="W35" s="92">
        <v>228</v>
      </c>
      <c r="X35" s="92">
        <v>240</v>
      </c>
      <c r="Y35" s="123">
        <v>264</v>
      </c>
      <c r="Z35" s="123"/>
      <c r="AA35" s="85"/>
    </row>
    <row r="36" spans="2:27" x14ac:dyDescent="0.25">
      <c r="B36" s="45" t="s">
        <v>608</v>
      </c>
      <c r="C36" s="45">
        <f t="shared" si="0"/>
        <v>33</v>
      </c>
      <c r="D36" s="44" t="s">
        <v>37</v>
      </c>
      <c r="E36" s="44" t="s">
        <v>309</v>
      </c>
      <c r="F36" s="44" t="s">
        <v>314</v>
      </c>
      <c r="G36" s="45" t="s">
        <v>113</v>
      </c>
      <c r="H36" s="47">
        <v>3167142019</v>
      </c>
      <c r="I36" s="48" t="s">
        <v>304</v>
      </c>
      <c r="J36" s="48" t="s">
        <v>209</v>
      </c>
      <c r="K36" s="48"/>
      <c r="L36" s="49">
        <f>30*12</f>
        <v>360</v>
      </c>
      <c r="M36" s="49">
        <v>840</v>
      </c>
      <c r="N36" s="49">
        <f>90*12</f>
        <v>1080</v>
      </c>
      <c r="O36" s="49">
        <f>100*12</f>
        <v>1200</v>
      </c>
      <c r="P36" s="49">
        <v>1200</v>
      </c>
      <c r="Q36" s="49">
        <v>1080</v>
      </c>
      <c r="R36" s="49">
        <v>1200</v>
      </c>
      <c r="S36" s="92">
        <v>840</v>
      </c>
      <c r="T36" s="92">
        <v>1440</v>
      </c>
      <c r="U36" s="92">
        <v>1320</v>
      </c>
      <c r="V36" s="92">
        <v>1560</v>
      </c>
      <c r="W36" s="92">
        <v>1700</v>
      </c>
      <c r="X36" s="92">
        <v>1440</v>
      </c>
      <c r="Y36" s="123">
        <v>1500</v>
      </c>
      <c r="Z36" s="123"/>
      <c r="AA36" s="85"/>
    </row>
    <row r="37" spans="2:27" x14ac:dyDescent="0.25">
      <c r="B37" s="45" t="s">
        <v>608</v>
      </c>
      <c r="C37" s="45">
        <f t="shared" si="0"/>
        <v>34</v>
      </c>
      <c r="D37" s="44" t="s">
        <v>49</v>
      </c>
      <c r="E37" s="44" t="s">
        <v>315</v>
      </c>
      <c r="F37" s="44" t="s">
        <v>347</v>
      </c>
      <c r="G37" s="45" t="s">
        <v>53</v>
      </c>
      <c r="H37" s="47">
        <v>3143874179</v>
      </c>
      <c r="I37" s="48" t="s">
        <v>150</v>
      </c>
      <c r="J37" s="48" t="s">
        <v>240</v>
      </c>
      <c r="K37" s="48">
        <v>901235591</v>
      </c>
      <c r="L37" s="49">
        <v>0</v>
      </c>
      <c r="M37" s="49">
        <v>20</v>
      </c>
      <c r="N37" s="49">
        <v>11</v>
      </c>
      <c r="O37" s="49">
        <v>15</v>
      </c>
      <c r="P37" s="49">
        <v>21</v>
      </c>
      <c r="Q37" s="49">
        <v>14</v>
      </c>
      <c r="R37" s="49">
        <v>18</v>
      </c>
      <c r="S37" s="92">
        <v>20</v>
      </c>
      <c r="T37" s="92">
        <v>94</v>
      </c>
      <c r="U37" s="92">
        <v>123</v>
      </c>
      <c r="V37" s="92">
        <v>120</v>
      </c>
      <c r="W37" s="92">
        <v>97</v>
      </c>
      <c r="X37" s="92">
        <v>103</v>
      </c>
      <c r="Y37" s="123">
        <v>103</v>
      </c>
      <c r="Z37" s="123"/>
      <c r="AA37" s="85"/>
    </row>
    <row r="38" spans="2:27" hidden="1" x14ac:dyDescent="0.25">
      <c r="B38" s="82" t="s">
        <v>609</v>
      </c>
      <c r="C38" s="82">
        <f t="shared" si="0"/>
        <v>35</v>
      </c>
      <c r="D38" s="81" t="s">
        <v>49</v>
      </c>
      <c r="E38" s="81" t="s">
        <v>315</v>
      </c>
      <c r="F38" s="81" t="s">
        <v>347</v>
      </c>
      <c r="G38" s="82" t="s">
        <v>54</v>
      </c>
      <c r="H38" s="87">
        <v>3298558</v>
      </c>
      <c r="I38" s="83" t="s">
        <v>150</v>
      </c>
      <c r="J38" s="83" t="s">
        <v>241</v>
      </c>
      <c r="K38" s="83">
        <v>16587698</v>
      </c>
      <c r="L38" s="84">
        <v>0</v>
      </c>
      <c r="M38" s="84">
        <v>0</v>
      </c>
      <c r="N38" s="84">
        <v>5</v>
      </c>
      <c r="O38" s="84">
        <v>0</v>
      </c>
      <c r="P38" s="84">
        <v>0</v>
      </c>
      <c r="Q38" s="84">
        <v>0</v>
      </c>
      <c r="R38" s="84">
        <v>0</v>
      </c>
      <c r="S38" s="84"/>
      <c r="T38" s="84"/>
      <c r="U38" s="84"/>
      <c r="V38" s="84"/>
      <c r="W38" s="84"/>
      <c r="X38" s="84"/>
      <c r="Y38" s="84"/>
      <c r="Z38" s="84"/>
      <c r="AA38" s="86"/>
    </row>
    <row r="39" spans="2:27" x14ac:dyDescent="0.25">
      <c r="B39" s="45" t="s">
        <v>608</v>
      </c>
      <c r="C39" s="45">
        <f t="shared" si="0"/>
        <v>36</v>
      </c>
      <c r="D39" s="44" t="s">
        <v>49</v>
      </c>
      <c r="E39" s="44" t="s">
        <v>315</v>
      </c>
      <c r="F39" s="44" t="s">
        <v>347</v>
      </c>
      <c r="G39" s="45" t="s">
        <v>55</v>
      </c>
      <c r="H39" s="47">
        <v>5216031</v>
      </c>
      <c r="I39" s="48" t="s">
        <v>150</v>
      </c>
      <c r="J39" s="48" t="s">
        <v>242</v>
      </c>
      <c r="K39" s="48">
        <v>1032363617</v>
      </c>
      <c r="L39" s="49">
        <v>0</v>
      </c>
      <c r="M39" s="49">
        <v>20</v>
      </c>
      <c r="N39" s="49">
        <v>25</v>
      </c>
      <c r="O39" s="49">
        <v>30</v>
      </c>
      <c r="P39" s="49">
        <v>21</v>
      </c>
      <c r="Q39" s="49">
        <v>28</v>
      </c>
      <c r="R39" s="49">
        <v>30</v>
      </c>
      <c r="S39" s="92">
        <v>36</v>
      </c>
      <c r="T39" s="92">
        <v>41</v>
      </c>
      <c r="U39" s="92">
        <v>85</v>
      </c>
      <c r="V39" s="92">
        <v>104</v>
      </c>
      <c r="W39" s="92">
        <v>123</v>
      </c>
      <c r="X39" s="92">
        <v>278</v>
      </c>
      <c r="Y39" s="123">
        <v>278</v>
      </c>
      <c r="Z39" s="123"/>
      <c r="AA39" s="85"/>
    </row>
    <row r="40" spans="2:27" hidden="1" x14ac:dyDescent="0.25">
      <c r="B40" s="30" t="s">
        <v>609</v>
      </c>
      <c r="C40" s="30">
        <f t="shared" si="0"/>
        <v>37</v>
      </c>
      <c r="D40" s="29" t="s">
        <v>49</v>
      </c>
      <c r="E40" s="29" t="s">
        <v>315</v>
      </c>
      <c r="F40" s="29" t="s">
        <v>347</v>
      </c>
      <c r="G40" s="30" t="s">
        <v>56</v>
      </c>
      <c r="H40" s="33">
        <v>1130669277</v>
      </c>
      <c r="I40" s="31" t="s">
        <v>150</v>
      </c>
      <c r="J40" s="31" t="s">
        <v>243</v>
      </c>
      <c r="K40" s="31">
        <v>1130669277</v>
      </c>
      <c r="L40" s="32">
        <v>0</v>
      </c>
      <c r="M40" s="32">
        <v>0</v>
      </c>
      <c r="N40" s="32">
        <v>0</v>
      </c>
      <c r="O40" s="32"/>
      <c r="P40" s="32"/>
      <c r="Q40" s="32"/>
      <c r="R40" s="32"/>
      <c r="S40" s="84"/>
      <c r="T40" s="84"/>
      <c r="U40" s="84"/>
      <c r="V40" s="84"/>
      <c r="W40" s="84"/>
      <c r="X40" s="84"/>
      <c r="Y40" s="84"/>
      <c r="Z40" s="84"/>
      <c r="AA40" s="86"/>
    </row>
    <row r="41" spans="2:27" x14ac:dyDescent="0.25">
      <c r="B41" s="45" t="s">
        <v>608</v>
      </c>
      <c r="C41" s="45">
        <f t="shared" si="0"/>
        <v>38</v>
      </c>
      <c r="D41" s="44" t="s">
        <v>49</v>
      </c>
      <c r="E41" s="44" t="s">
        <v>315</v>
      </c>
      <c r="F41" s="44" t="s">
        <v>347</v>
      </c>
      <c r="G41" s="45" t="s">
        <v>57</v>
      </c>
      <c r="H41" s="47">
        <v>3022491892</v>
      </c>
      <c r="I41" s="48" t="s">
        <v>150</v>
      </c>
      <c r="J41" s="48" t="s">
        <v>244</v>
      </c>
      <c r="K41" s="48">
        <v>31971928</v>
      </c>
      <c r="L41" s="49">
        <v>20</v>
      </c>
      <c r="M41" s="49">
        <v>0</v>
      </c>
      <c r="N41" s="49">
        <v>18</v>
      </c>
      <c r="O41" s="49">
        <v>50</v>
      </c>
      <c r="P41" s="49">
        <v>35</v>
      </c>
      <c r="Q41" s="49">
        <v>35</v>
      </c>
      <c r="R41" s="49">
        <v>38</v>
      </c>
      <c r="S41" s="92">
        <v>48</v>
      </c>
      <c r="T41" s="92">
        <v>123</v>
      </c>
      <c r="U41" s="92">
        <v>188</v>
      </c>
      <c r="V41" s="92">
        <v>225</v>
      </c>
      <c r="W41" s="92">
        <v>195</v>
      </c>
      <c r="X41" s="92">
        <v>240</v>
      </c>
      <c r="Y41" s="123">
        <v>310</v>
      </c>
      <c r="Z41" s="123"/>
      <c r="AA41" s="85"/>
    </row>
    <row r="42" spans="2:27" x14ac:dyDescent="0.25">
      <c r="B42" s="45" t="s">
        <v>608</v>
      </c>
      <c r="C42" s="45">
        <f t="shared" si="0"/>
        <v>39</v>
      </c>
      <c r="D42" s="44" t="s">
        <v>49</v>
      </c>
      <c r="E42" s="44" t="s">
        <v>315</v>
      </c>
      <c r="F42" s="44" t="s">
        <v>347</v>
      </c>
      <c r="G42" s="45" t="s">
        <v>58</v>
      </c>
      <c r="H42" s="47">
        <v>3134661206</v>
      </c>
      <c r="I42" s="48" t="s">
        <v>150</v>
      </c>
      <c r="J42" s="48" t="s">
        <v>245</v>
      </c>
      <c r="K42" s="48">
        <v>1088006300</v>
      </c>
      <c r="L42" s="49">
        <v>0</v>
      </c>
      <c r="M42" s="49">
        <v>0</v>
      </c>
      <c r="N42" s="49">
        <v>17</v>
      </c>
      <c r="O42" s="49">
        <v>21</v>
      </c>
      <c r="P42" s="49">
        <v>14</v>
      </c>
      <c r="Q42" s="49">
        <v>7</v>
      </c>
      <c r="R42" s="49">
        <v>10</v>
      </c>
      <c r="S42" s="92">
        <v>14</v>
      </c>
      <c r="T42" s="92">
        <v>135</v>
      </c>
      <c r="U42" s="92">
        <v>83</v>
      </c>
      <c r="V42" s="92">
        <v>90</v>
      </c>
      <c r="W42" s="92">
        <v>70</v>
      </c>
      <c r="X42" s="92">
        <v>95</v>
      </c>
      <c r="Y42" s="123">
        <v>95</v>
      </c>
      <c r="Z42" s="123"/>
      <c r="AA42" s="85"/>
    </row>
    <row r="43" spans="2:27" x14ac:dyDescent="0.25">
      <c r="B43" s="45" t="s">
        <v>608</v>
      </c>
      <c r="C43" s="45">
        <f t="shared" si="0"/>
        <v>40</v>
      </c>
      <c r="D43" s="44" t="s">
        <v>49</v>
      </c>
      <c r="E43" s="44" t="s">
        <v>315</v>
      </c>
      <c r="F43" s="44" t="s">
        <v>347</v>
      </c>
      <c r="G43" s="45" t="s">
        <v>59</v>
      </c>
      <c r="H43" s="47">
        <v>4207110</v>
      </c>
      <c r="I43" s="48" t="s">
        <v>150</v>
      </c>
      <c r="J43" s="48" t="s">
        <v>246</v>
      </c>
      <c r="K43" s="48">
        <v>94300252</v>
      </c>
      <c r="L43" s="49">
        <v>0</v>
      </c>
      <c r="M43" s="49">
        <v>0</v>
      </c>
      <c r="N43" s="49">
        <v>20</v>
      </c>
      <c r="O43" s="49">
        <v>21</v>
      </c>
      <c r="P43" s="49">
        <v>28</v>
      </c>
      <c r="Q43" s="49">
        <v>21</v>
      </c>
      <c r="R43" s="49">
        <v>26</v>
      </c>
      <c r="S43" s="92">
        <v>50</v>
      </c>
      <c r="T43" s="92">
        <v>54</v>
      </c>
      <c r="U43" s="92">
        <v>125</v>
      </c>
      <c r="V43" s="92">
        <v>96</v>
      </c>
      <c r="W43" s="92">
        <v>113</v>
      </c>
      <c r="X43" s="92">
        <v>135</v>
      </c>
      <c r="Y43" s="123">
        <v>135</v>
      </c>
      <c r="Z43" s="123"/>
      <c r="AA43" s="85"/>
    </row>
    <row r="44" spans="2:27" x14ac:dyDescent="0.25">
      <c r="B44" s="45" t="s">
        <v>608</v>
      </c>
      <c r="C44" s="45">
        <f t="shared" si="0"/>
        <v>41</v>
      </c>
      <c r="D44" s="44" t="s">
        <v>49</v>
      </c>
      <c r="E44" s="44" t="s">
        <v>315</v>
      </c>
      <c r="F44" s="44" t="s">
        <v>347</v>
      </c>
      <c r="G44" s="45" t="s">
        <v>60</v>
      </c>
      <c r="H44" s="47">
        <v>4201897</v>
      </c>
      <c r="I44" s="48" t="s">
        <v>150</v>
      </c>
      <c r="J44" s="48" t="s">
        <v>247</v>
      </c>
      <c r="K44" s="48">
        <v>70829838</v>
      </c>
      <c r="L44" s="49">
        <v>0</v>
      </c>
      <c r="M44" s="49">
        <v>0</v>
      </c>
      <c r="N44" s="49">
        <v>21</v>
      </c>
      <c r="O44" s="49">
        <v>30</v>
      </c>
      <c r="P44" s="49">
        <v>28</v>
      </c>
      <c r="Q44" s="49">
        <v>28</v>
      </c>
      <c r="R44" s="49">
        <v>26</v>
      </c>
      <c r="S44" s="92">
        <v>44</v>
      </c>
      <c r="T44" s="92">
        <v>177</v>
      </c>
      <c r="U44" s="92">
        <v>60</v>
      </c>
      <c r="V44" s="92">
        <v>66</v>
      </c>
      <c r="W44" s="92">
        <v>46</v>
      </c>
      <c r="X44" s="92">
        <v>115</v>
      </c>
      <c r="Y44" s="123">
        <v>230</v>
      </c>
      <c r="Z44" s="123"/>
      <c r="AA44" s="85"/>
    </row>
    <row r="45" spans="2:27" hidden="1" x14ac:dyDescent="0.25">
      <c r="B45" s="30" t="s">
        <v>609</v>
      </c>
      <c r="C45" s="30">
        <f t="shared" si="0"/>
        <v>42</v>
      </c>
      <c r="D45" s="29" t="s">
        <v>49</v>
      </c>
      <c r="E45" s="29" t="s">
        <v>315</v>
      </c>
      <c r="F45" s="29" t="s">
        <v>347</v>
      </c>
      <c r="G45" s="30" t="s">
        <v>61</v>
      </c>
      <c r="H45" s="33">
        <v>4056996</v>
      </c>
      <c r="I45" s="31" t="s">
        <v>150</v>
      </c>
      <c r="J45" s="31" t="s">
        <v>248</v>
      </c>
      <c r="K45" s="31">
        <v>16833231</v>
      </c>
      <c r="L45" s="32">
        <v>0</v>
      </c>
      <c r="M45" s="32">
        <v>0</v>
      </c>
      <c r="N45" s="32">
        <v>0</v>
      </c>
      <c r="O45" s="32"/>
      <c r="P45" s="32"/>
      <c r="Q45" s="32"/>
      <c r="R45" s="32"/>
      <c r="S45" s="84"/>
      <c r="T45" s="84"/>
      <c r="U45" s="84"/>
      <c r="V45" s="84"/>
      <c r="W45" s="84"/>
      <c r="X45" s="84"/>
      <c r="Y45" s="84"/>
      <c r="Z45" s="84"/>
      <c r="AA45" s="86"/>
    </row>
    <row r="46" spans="2:27" x14ac:dyDescent="0.25">
      <c r="B46" s="45" t="s">
        <v>608</v>
      </c>
      <c r="C46" s="45">
        <f t="shared" si="0"/>
        <v>43</v>
      </c>
      <c r="D46" s="44" t="s">
        <v>49</v>
      </c>
      <c r="E46" s="44" t="s">
        <v>315</v>
      </c>
      <c r="F46" s="44" t="s">
        <v>347</v>
      </c>
      <c r="G46" s="45" t="s">
        <v>62</v>
      </c>
      <c r="H46" s="47">
        <v>4306553</v>
      </c>
      <c r="I46" s="48" t="s">
        <v>150</v>
      </c>
      <c r="J46" s="48" t="s">
        <v>249</v>
      </c>
      <c r="K46" s="48">
        <v>42116594</v>
      </c>
      <c r="L46" s="49">
        <v>10</v>
      </c>
      <c r="M46" s="49">
        <v>0</v>
      </c>
      <c r="N46" s="49">
        <v>9</v>
      </c>
      <c r="O46" s="49">
        <v>21</v>
      </c>
      <c r="P46" s="49">
        <v>21</v>
      </c>
      <c r="Q46" s="49">
        <v>14</v>
      </c>
      <c r="R46" s="49">
        <v>18</v>
      </c>
      <c r="S46" s="92">
        <v>51</v>
      </c>
      <c r="T46" s="92">
        <v>80</v>
      </c>
      <c r="U46" s="92">
        <v>75</v>
      </c>
      <c r="V46" s="92">
        <v>81</v>
      </c>
      <c r="W46" s="92">
        <v>88</v>
      </c>
      <c r="X46" s="92">
        <v>80</v>
      </c>
      <c r="Y46" s="123">
        <v>80</v>
      </c>
      <c r="Z46" s="123"/>
      <c r="AA46" s="85"/>
    </row>
    <row r="47" spans="2:27" hidden="1" x14ac:dyDescent="0.25">
      <c r="B47" s="30" t="s">
        <v>609</v>
      </c>
      <c r="C47" s="30">
        <f t="shared" si="0"/>
        <v>44</v>
      </c>
      <c r="D47" s="29" t="s">
        <v>49</v>
      </c>
      <c r="E47" s="29" t="s">
        <v>315</v>
      </c>
      <c r="F47" s="29" t="s">
        <v>347</v>
      </c>
      <c r="G47" s="30" t="s">
        <v>63</v>
      </c>
      <c r="H47" s="33">
        <v>5529929</v>
      </c>
      <c r="I47" s="31" t="s">
        <v>150</v>
      </c>
      <c r="J47" s="31" t="s">
        <v>250</v>
      </c>
      <c r="K47" s="31">
        <v>901133087</v>
      </c>
      <c r="L47" s="32">
        <v>0</v>
      </c>
      <c r="M47" s="32">
        <v>0</v>
      </c>
      <c r="N47" s="32">
        <v>0</v>
      </c>
      <c r="O47" s="32"/>
      <c r="P47" s="32"/>
      <c r="Q47" s="32"/>
      <c r="R47" s="32"/>
      <c r="S47" s="84"/>
      <c r="T47" s="84"/>
      <c r="U47" s="84"/>
      <c r="V47" s="84"/>
      <c r="W47" s="84"/>
      <c r="X47" s="84"/>
      <c r="Y47" s="84"/>
      <c r="Z47" s="84"/>
      <c r="AA47" s="86"/>
    </row>
    <row r="48" spans="2:27" hidden="1" x14ac:dyDescent="0.25">
      <c r="B48" s="30" t="s">
        <v>609</v>
      </c>
      <c r="C48" s="30">
        <f t="shared" si="0"/>
        <v>45</v>
      </c>
      <c r="D48" s="29" t="s">
        <v>49</v>
      </c>
      <c r="E48" s="29" t="s">
        <v>315</v>
      </c>
      <c r="F48" s="29" t="s">
        <v>347</v>
      </c>
      <c r="G48" s="30" t="s">
        <v>64</v>
      </c>
      <c r="H48" s="33">
        <v>4035308</v>
      </c>
      <c r="I48" s="31" t="s">
        <v>150</v>
      </c>
      <c r="J48" s="31" t="s">
        <v>251</v>
      </c>
      <c r="K48" s="31">
        <v>4722270</v>
      </c>
      <c r="L48" s="32">
        <v>0</v>
      </c>
      <c r="M48" s="32">
        <v>0</v>
      </c>
      <c r="N48" s="32">
        <v>0</v>
      </c>
      <c r="O48" s="32"/>
      <c r="P48" s="32"/>
      <c r="Q48" s="32"/>
      <c r="R48" s="32"/>
      <c r="S48" s="84"/>
      <c r="T48" s="84"/>
      <c r="U48" s="84"/>
      <c r="V48" s="84"/>
      <c r="W48" s="84"/>
      <c r="X48" s="84"/>
      <c r="Y48" s="84"/>
      <c r="Z48" s="84"/>
      <c r="AA48" s="86"/>
    </row>
    <row r="49" spans="2:27" x14ac:dyDescent="0.25">
      <c r="B49" s="45" t="s">
        <v>608</v>
      </c>
      <c r="C49" s="45">
        <f t="shared" si="0"/>
        <v>46</v>
      </c>
      <c r="D49" s="44" t="s">
        <v>49</v>
      </c>
      <c r="E49" s="44" t="s">
        <v>315</v>
      </c>
      <c r="F49" s="44" t="s">
        <v>347</v>
      </c>
      <c r="G49" s="45" t="s">
        <v>252</v>
      </c>
      <c r="H49" s="47">
        <v>3015493138</v>
      </c>
      <c r="I49" s="48" t="s">
        <v>150</v>
      </c>
      <c r="J49" s="48" t="s">
        <v>253</v>
      </c>
      <c r="K49" s="48">
        <v>1144040229</v>
      </c>
      <c r="L49" s="49">
        <v>0</v>
      </c>
      <c r="M49" s="49">
        <v>0</v>
      </c>
      <c r="N49" s="49">
        <v>5</v>
      </c>
      <c r="O49" s="49">
        <v>7</v>
      </c>
      <c r="P49" s="49">
        <v>14</v>
      </c>
      <c r="Q49" s="49">
        <v>7</v>
      </c>
      <c r="R49" s="49">
        <v>8</v>
      </c>
      <c r="S49" s="92">
        <v>12</v>
      </c>
      <c r="T49" s="92">
        <v>95</v>
      </c>
      <c r="U49" s="92">
        <v>105</v>
      </c>
      <c r="V49" s="92">
        <v>116</v>
      </c>
      <c r="W49" s="92">
        <v>72</v>
      </c>
      <c r="X49" s="92">
        <v>145</v>
      </c>
      <c r="Y49" s="123">
        <v>145</v>
      </c>
      <c r="Z49" s="123"/>
      <c r="AA49" s="85"/>
    </row>
    <row r="50" spans="2:27" x14ac:dyDescent="0.25">
      <c r="B50" s="45" t="s">
        <v>608</v>
      </c>
      <c r="C50" s="45">
        <f t="shared" si="0"/>
        <v>47</v>
      </c>
      <c r="D50" s="44" t="s">
        <v>49</v>
      </c>
      <c r="E50" s="44" t="s">
        <v>315</v>
      </c>
      <c r="F50" s="44" t="s">
        <v>347</v>
      </c>
      <c r="G50" s="45" t="s">
        <v>65</v>
      </c>
      <c r="H50" s="47">
        <v>4482670</v>
      </c>
      <c r="I50" s="48" t="s">
        <v>150</v>
      </c>
      <c r="J50" s="48" t="s">
        <v>254</v>
      </c>
      <c r="K50" s="48">
        <v>1107103712</v>
      </c>
      <c r="L50" s="49">
        <v>0</v>
      </c>
      <c r="M50" s="49">
        <v>0</v>
      </c>
      <c r="N50" s="49">
        <v>9</v>
      </c>
      <c r="O50" s="49">
        <v>15</v>
      </c>
      <c r="P50" s="49">
        <v>21</v>
      </c>
      <c r="Q50" s="49">
        <v>28</v>
      </c>
      <c r="R50" s="49">
        <v>25</v>
      </c>
      <c r="S50" s="92">
        <v>38</v>
      </c>
      <c r="T50" s="92">
        <v>24</v>
      </c>
      <c r="U50" s="92">
        <v>90</v>
      </c>
      <c r="V50" s="92">
        <v>88</v>
      </c>
      <c r="W50" s="92">
        <v>133</v>
      </c>
      <c r="X50" s="92">
        <v>320</v>
      </c>
      <c r="Y50" s="123">
        <v>320</v>
      </c>
      <c r="Z50" s="123"/>
      <c r="AA50" s="85"/>
    </row>
    <row r="51" spans="2:27" hidden="1" x14ac:dyDescent="0.25">
      <c r="B51" s="30" t="s">
        <v>609</v>
      </c>
      <c r="C51" s="30">
        <f t="shared" si="0"/>
        <v>48</v>
      </c>
      <c r="D51" s="29" t="s">
        <v>49</v>
      </c>
      <c r="E51" s="29" t="s">
        <v>315</v>
      </c>
      <c r="F51" s="29" t="s">
        <v>347</v>
      </c>
      <c r="G51" s="30" t="s">
        <v>66</v>
      </c>
      <c r="H51" s="33">
        <v>3153399094</v>
      </c>
      <c r="I51" s="31"/>
      <c r="J51" s="31" t="s">
        <v>255</v>
      </c>
      <c r="K51" s="31">
        <v>1082657940</v>
      </c>
      <c r="L51" s="32">
        <v>0</v>
      </c>
      <c r="M51" s="32">
        <v>0</v>
      </c>
      <c r="N51" s="32">
        <v>0</v>
      </c>
      <c r="O51" s="32"/>
      <c r="P51" s="32"/>
      <c r="Q51" s="32"/>
      <c r="R51" s="32"/>
      <c r="S51" s="84"/>
      <c r="T51" s="84"/>
      <c r="U51" s="84"/>
      <c r="V51" s="84"/>
      <c r="W51" s="84"/>
      <c r="X51" s="84"/>
      <c r="Y51" s="84"/>
      <c r="Z51" s="84"/>
      <c r="AA51" s="86"/>
    </row>
    <row r="52" spans="2:27" x14ac:dyDescent="0.25">
      <c r="B52" s="89" t="s">
        <v>608</v>
      </c>
      <c r="C52" s="89">
        <f t="shared" si="0"/>
        <v>49</v>
      </c>
      <c r="D52" s="88" t="s">
        <v>49</v>
      </c>
      <c r="E52" s="88" t="s">
        <v>315</v>
      </c>
      <c r="F52" s="88" t="s">
        <v>347</v>
      </c>
      <c r="G52" s="89" t="s">
        <v>67</v>
      </c>
      <c r="H52" s="90">
        <v>374330575</v>
      </c>
      <c r="I52" s="91" t="s">
        <v>150</v>
      </c>
      <c r="J52" s="91" t="s">
        <v>286</v>
      </c>
      <c r="K52" s="91">
        <v>1143836583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14</v>
      </c>
      <c r="S52" s="92">
        <v>12</v>
      </c>
      <c r="T52" s="92">
        <v>12</v>
      </c>
      <c r="U52" s="92">
        <v>4</v>
      </c>
      <c r="V52" s="92">
        <v>6</v>
      </c>
      <c r="W52" s="92">
        <v>0</v>
      </c>
      <c r="X52" s="92">
        <v>0</v>
      </c>
      <c r="Y52" s="123">
        <v>0</v>
      </c>
      <c r="Z52" s="123"/>
      <c r="AA52" s="85"/>
    </row>
    <row r="53" spans="2:27" hidden="1" x14ac:dyDescent="0.25">
      <c r="B53" s="30" t="s">
        <v>609</v>
      </c>
      <c r="C53" s="30">
        <f t="shared" si="0"/>
        <v>50</v>
      </c>
      <c r="D53" s="29" t="s">
        <v>49</v>
      </c>
      <c r="E53" s="29" t="s">
        <v>315</v>
      </c>
      <c r="F53" s="29" t="s">
        <v>347</v>
      </c>
      <c r="G53" s="30" t="s">
        <v>68</v>
      </c>
      <c r="H53" s="33">
        <v>3178465387</v>
      </c>
      <c r="I53" s="31" t="s">
        <v>150</v>
      </c>
      <c r="J53" s="31" t="s">
        <v>285</v>
      </c>
      <c r="K53" s="31">
        <v>51693168</v>
      </c>
      <c r="L53" s="32">
        <v>0</v>
      </c>
      <c r="M53" s="32">
        <v>0</v>
      </c>
      <c r="N53" s="32">
        <v>0</v>
      </c>
      <c r="O53" s="32"/>
      <c r="P53" s="32"/>
      <c r="Q53" s="32"/>
      <c r="R53" s="32"/>
      <c r="S53" s="84"/>
      <c r="T53" s="84"/>
      <c r="U53" s="84"/>
      <c r="V53" s="84"/>
      <c r="W53" s="84"/>
      <c r="X53" s="84"/>
      <c r="Y53" s="84"/>
      <c r="Z53" s="84"/>
      <c r="AA53" s="86"/>
    </row>
    <row r="54" spans="2:27" hidden="1" x14ac:dyDescent="0.25">
      <c r="B54" s="30" t="s">
        <v>609</v>
      </c>
      <c r="C54" s="30">
        <f t="shared" si="0"/>
        <v>51</v>
      </c>
      <c r="D54" s="29" t="s">
        <v>49</v>
      </c>
      <c r="E54" s="29" t="s">
        <v>315</v>
      </c>
      <c r="F54" s="29" t="s">
        <v>347</v>
      </c>
      <c r="G54" s="30" t="s">
        <v>69</v>
      </c>
      <c r="H54" s="33">
        <v>3113684406</v>
      </c>
      <c r="I54" s="31" t="s">
        <v>150</v>
      </c>
      <c r="J54" s="31" t="s">
        <v>287</v>
      </c>
      <c r="K54" s="31">
        <v>44007376</v>
      </c>
      <c r="L54" s="32">
        <v>0</v>
      </c>
      <c r="M54" s="32">
        <v>0</v>
      </c>
      <c r="N54" s="32">
        <v>0</v>
      </c>
      <c r="O54" s="32"/>
      <c r="P54" s="32"/>
      <c r="Q54" s="32"/>
      <c r="R54" s="32"/>
      <c r="S54" s="84"/>
      <c r="T54" s="84"/>
      <c r="U54" s="84"/>
      <c r="V54" s="84"/>
      <c r="W54" s="84"/>
      <c r="X54" s="84"/>
      <c r="Y54" s="84"/>
      <c r="Z54" s="84"/>
      <c r="AA54" s="86"/>
    </row>
    <row r="55" spans="2:27" hidden="1" x14ac:dyDescent="0.25">
      <c r="B55" s="30" t="s">
        <v>609</v>
      </c>
      <c r="C55" s="30">
        <f t="shared" si="0"/>
        <v>52</v>
      </c>
      <c r="D55" s="29" t="s">
        <v>49</v>
      </c>
      <c r="E55" s="29" t="s">
        <v>315</v>
      </c>
      <c r="F55" s="29" t="s">
        <v>347</v>
      </c>
      <c r="G55" s="30" t="s">
        <v>50</v>
      </c>
      <c r="H55" s="33">
        <v>3750248</v>
      </c>
      <c r="I55" s="31" t="s">
        <v>150</v>
      </c>
      <c r="J55" s="31" t="s">
        <v>288</v>
      </c>
      <c r="K55" s="31">
        <v>94399540</v>
      </c>
      <c r="L55" s="32">
        <v>0</v>
      </c>
      <c r="M55" s="32">
        <v>0</v>
      </c>
      <c r="N55" s="32">
        <v>0</v>
      </c>
      <c r="O55" s="32"/>
      <c r="P55" s="32"/>
      <c r="Q55" s="32"/>
      <c r="R55" s="32"/>
      <c r="S55" s="84"/>
      <c r="T55" s="84"/>
      <c r="U55" s="84"/>
      <c r="V55" s="84"/>
      <c r="W55" s="84"/>
      <c r="X55" s="84"/>
      <c r="Y55" s="84"/>
      <c r="Z55" s="84"/>
      <c r="AA55" s="86"/>
    </row>
    <row r="56" spans="2:27" x14ac:dyDescent="0.25">
      <c r="B56" s="45" t="s">
        <v>608</v>
      </c>
      <c r="C56" s="45">
        <f t="shared" si="0"/>
        <v>53</v>
      </c>
      <c r="D56" s="44" t="s">
        <v>49</v>
      </c>
      <c r="E56" s="44" t="s">
        <v>315</v>
      </c>
      <c r="F56" s="44" t="s">
        <v>347</v>
      </c>
      <c r="G56" s="45" t="s">
        <v>70</v>
      </c>
      <c r="H56" s="47">
        <v>3760861</v>
      </c>
      <c r="I56" s="48" t="s">
        <v>150</v>
      </c>
      <c r="J56" s="48" t="s">
        <v>289</v>
      </c>
      <c r="K56" s="48">
        <v>15905205</v>
      </c>
      <c r="L56" s="49">
        <v>0</v>
      </c>
      <c r="M56" s="49">
        <v>0</v>
      </c>
      <c r="N56" s="49">
        <v>12</v>
      </c>
      <c r="O56" s="49">
        <v>15</v>
      </c>
      <c r="P56" s="49">
        <v>21</v>
      </c>
      <c r="Q56" s="49">
        <v>14</v>
      </c>
      <c r="R56" s="49">
        <v>14</v>
      </c>
      <c r="S56" s="92">
        <v>14</v>
      </c>
      <c r="T56" s="92">
        <v>9</v>
      </c>
      <c r="U56" s="92">
        <v>8</v>
      </c>
      <c r="V56" s="92">
        <v>4</v>
      </c>
      <c r="W56" s="92">
        <v>8</v>
      </c>
      <c r="X56" s="92">
        <v>0</v>
      </c>
      <c r="Y56" s="123">
        <v>6</v>
      </c>
      <c r="Z56" s="123"/>
      <c r="AA56" s="85"/>
    </row>
    <row r="57" spans="2:27" x14ac:dyDescent="0.25">
      <c r="B57" s="45" t="s">
        <v>608</v>
      </c>
      <c r="C57" s="45">
        <f t="shared" si="0"/>
        <v>54</v>
      </c>
      <c r="D57" s="44" t="s">
        <v>49</v>
      </c>
      <c r="E57" s="44" t="s">
        <v>315</v>
      </c>
      <c r="F57" s="44" t="s">
        <v>347</v>
      </c>
      <c r="G57" s="45" t="s">
        <v>71</v>
      </c>
      <c r="H57" s="47">
        <v>3137974910</v>
      </c>
      <c r="I57" s="48" t="s">
        <v>150</v>
      </c>
      <c r="J57" s="48" t="s">
        <v>290</v>
      </c>
      <c r="K57" s="48">
        <v>79887872</v>
      </c>
      <c r="L57" s="49">
        <v>0</v>
      </c>
      <c r="M57" s="49">
        <v>0</v>
      </c>
      <c r="N57" s="49">
        <v>10</v>
      </c>
      <c r="O57" s="49">
        <v>15</v>
      </c>
      <c r="P57" s="49">
        <v>0</v>
      </c>
      <c r="Q57" s="49">
        <v>14</v>
      </c>
      <c r="R57" s="49">
        <v>14</v>
      </c>
      <c r="S57" s="92">
        <v>14</v>
      </c>
      <c r="T57" s="92">
        <v>12</v>
      </c>
      <c r="U57" s="92">
        <v>8</v>
      </c>
      <c r="V57" s="92">
        <v>6</v>
      </c>
      <c r="W57" s="92">
        <v>12</v>
      </c>
      <c r="X57" s="92">
        <v>0</v>
      </c>
      <c r="Y57" s="123">
        <v>10</v>
      </c>
      <c r="Z57" s="123"/>
      <c r="AA57" s="85"/>
    </row>
    <row r="58" spans="2:27" hidden="1" x14ac:dyDescent="0.25">
      <c r="B58" s="30" t="s">
        <v>609</v>
      </c>
      <c r="C58" s="30">
        <f t="shared" si="0"/>
        <v>55</v>
      </c>
      <c r="D58" s="29" t="s">
        <v>49</v>
      </c>
      <c r="E58" s="29" t="s">
        <v>315</v>
      </c>
      <c r="F58" s="29" t="s">
        <v>347</v>
      </c>
      <c r="G58" s="30" t="s">
        <v>72</v>
      </c>
      <c r="H58" s="33">
        <v>4469845</v>
      </c>
      <c r="I58" s="31" t="s">
        <v>150</v>
      </c>
      <c r="J58" s="31" t="s">
        <v>291</v>
      </c>
      <c r="K58" s="31">
        <v>4485384</v>
      </c>
      <c r="L58" s="32">
        <v>0</v>
      </c>
      <c r="M58" s="32">
        <v>0</v>
      </c>
      <c r="N58" s="32">
        <v>0</v>
      </c>
      <c r="O58" s="32"/>
      <c r="P58" s="32"/>
      <c r="Q58" s="32"/>
      <c r="R58" s="32"/>
      <c r="S58" s="84"/>
      <c r="T58" s="84"/>
      <c r="U58" s="84"/>
      <c r="V58" s="84"/>
      <c r="W58" s="84"/>
      <c r="X58" s="84"/>
      <c r="Y58" s="84"/>
      <c r="Z58" s="84"/>
      <c r="AA58" s="55"/>
    </row>
    <row r="59" spans="2:27" x14ac:dyDescent="0.25">
      <c r="B59" s="45" t="s">
        <v>608</v>
      </c>
      <c r="C59" s="45">
        <f t="shared" si="0"/>
        <v>56</v>
      </c>
      <c r="D59" s="44" t="s">
        <v>49</v>
      </c>
      <c r="E59" s="44" t="s">
        <v>315</v>
      </c>
      <c r="F59" s="44" t="s">
        <v>347</v>
      </c>
      <c r="G59" s="45" t="s">
        <v>73</v>
      </c>
      <c r="H59" s="47">
        <v>6662306</v>
      </c>
      <c r="I59" s="48" t="s">
        <v>150</v>
      </c>
      <c r="J59" s="48" t="s">
        <v>292</v>
      </c>
      <c r="K59" s="48">
        <v>71371926</v>
      </c>
      <c r="L59" s="49">
        <v>0</v>
      </c>
      <c r="M59" s="49">
        <v>20</v>
      </c>
      <c r="N59" s="49">
        <v>10</v>
      </c>
      <c r="O59" s="49">
        <v>15</v>
      </c>
      <c r="P59" s="49">
        <v>21</v>
      </c>
      <c r="Q59" s="49">
        <v>0</v>
      </c>
      <c r="R59" s="49">
        <v>7</v>
      </c>
      <c r="S59" s="92">
        <v>7</v>
      </c>
      <c r="T59" s="92">
        <v>8</v>
      </c>
      <c r="U59" s="92">
        <v>6</v>
      </c>
      <c r="V59" s="92">
        <v>6</v>
      </c>
      <c r="W59" s="92">
        <v>6</v>
      </c>
      <c r="X59" s="92">
        <v>6</v>
      </c>
      <c r="Y59" s="123">
        <v>0</v>
      </c>
      <c r="Z59" s="123"/>
      <c r="AA59" s="85"/>
    </row>
    <row r="60" spans="2:27" x14ac:dyDescent="0.25">
      <c r="B60" s="45" t="s">
        <v>608</v>
      </c>
      <c r="C60" s="45">
        <f t="shared" si="0"/>
        <v>57</v>
      </c>
      <c r="D60" s="44" t="s">
        <v>49</v>
      </c>
      <c r="E60" s="44" t="s">
        <v>315</v>
      </c>
      <c r="F60" s="44" t="s">
        <v>347</v>
      </c>
      <c r="G60" s="45" t="s">
        <v>74</v>
      </c>
      <c r="H60" s="47">
        <v>3178814634</v>
      </c>
      <c r="I60" s="48" t="s">
        <v>150</v>
      </c>
      <c r="J60" s="48" t="s">
        <v>293</v>
      </c>
      <c r="K60" s="48">
        <v>16943799</v>
      </c>
      <c r="L60" s="49">
        <v>0</v>
      </c>
      <c r="M60" s="49">
        <v>0</v>
      </c>
      <c r="N60" s="49">
        <v>10</v>
      </c>
      <c r="O60" s="49">
        <v>15</v>
      </c>
      <c r="P60" s="49">
        <v>21</v>
      </c>
      <c r="Q60" s="49">
        <v>14</v>
      </c>
      <c r="R60" s="49">
        <v>14</v>
      </c>
      <c r="S60" s="92">
        <v>14</v>
      </c>
      <c r="T60" s="92">
        <v>10</v>
      </c>
      <c r="U60" s="92">
        <v>5</v>
      </c>
      <c r="V60" s="92">
        <v>5</v>
      </c>
      <c r="W60" s="92">
        <v>8</v>
      </c>
      <c r="X60" s="92">
        <v>8</v>
      </c>
      <c r="Y60" s="123">
        <v>0</v>
      </c>
      <c r="Z60" s="123"/>
      <c r="AA60" s="85"/>
    </row>
    <row r="61" spans="2:27" x14ac:dyDescent="0.25">
      <c r="B61" s="89" t="s">
        <v>608</v>
      </c>
      <c r="C61" s="89">
        <f t="shared" si="0"/>
        <v>58</v>
      </c>
      <c r="D61" s="88" t="s">
        <v>49</v>
      </c>
      <c r="E61" s="88" t="s">
        <v>315</v>
      </c>
      <c r="F61" s="88" t="s">
        <v>347</v>
      </c>
      <c r="G61" s="89" t="s">
        <v>75</v>
      </c>
      <c r="H61" s="90">
        <v>3136372746</v>
      </c>
      <c r="I61" s="122" t="s">
        <v>150</v>
      </c>
      <c r="J61" s="122" t="s">
        <v>294</v>
      </c>
      <c r="K61" s="122">
        <v>1107074996</v>
      </c>
      <c r="L61" s="123">
        <v>0</v>
      </c>
      <c r="M61" s="123">
        <v>0</v>
      </c>
      <c r="N61" s="123">
        <v>10</v>
      </c>
      <c r="O61" s="123">
        <v>0</v>
      </c>
      <c r="P61" s="123">
        <v>0</v>
      </c>
      <c r="Q61" s="123">
        <v>0</v>
      </c>
      <c r="R61" s="123">
        <v>0</v>
      </c>
      <c r="S61" s="92"/>
      <c r="T61" s="92">
        <v>15</v>
      </c>
      <c r="U61" s="92">
        <v>15</v>
      </c>
      <c r="V61" s="92">
        <v>18</v>
      </c>
      <c r="W61" s="92">
        <v>10</v>
      </c>
      <c r="X61" s="92">
        <v>0</v>
      </c>
      <c r="Y61" s="123">
        <v>8</v>
      </c>
      <c r="Z61" s="123"/>
      <c r="AA61" s="85"/>
    </row>
    <row r="62" spans="2:27" x14ac:dyDescent="0.25">
      <c r="B62" s="89" t="s">
        <v>608</v>
      </c>
      <c r="C62" s="89">
        <f t="shared" si="0"/>
        <v>59</v>
      </c>
      <c r="D62" s="88" t="s">
        <v>49</v>
      </c>
      <c r="E62" s="88" t="s">
        <v>315</v>
      </c>
      <c r="F62" s="88" t="s">
        <v>347</v>
      </c>
      <c r="G62" s="89" t="s">
        <v>76</v>
      </c>
      <c r="H62" s="90">
        <v>3132614285</v>
      </c>
      <c r="I62" s="122" t="s">
        <v>150</v>
      </c>
      <c r="J62" s="122" t="s">
        <v>295</v>
      </c>
      <c r="K62" s="122">
        <v>38644553</v>
      </c>
      <c r="L62" s="123">
        <v>0</v>
      </c>
      <c r="M62" s="123">
        <v>20</v>
      </c>
      <c r="N62" s="123">
        <v>7</v>
      </c>
      <c r="O62" s="123">
        <v>0</v>
      </c>
      <c r="P62" s="123">
        <v>0</v>
      </c>
      <c r="Q62" s="123">
        <v>0</v>
      </c>
      <c r="R62" s="123">
        <v>0</v>
      </c>
      <c r="S62" s="92"/>
      <c r="T62" s="92">
        <v>4</v>
      </c>
      <c r="U62" s="92">
        <v>5</v>
      </c>
      <c r="V62" s="92">
        <v>12</v>
      </c>
      <c r="W62" s="92">
        <v>0</v>
      </c>
      <c r="X62" s="92">
        <v>0</v>
      </c>
      <c r="Y62" s="123">
        <v>3</v>
      </c>
      <c r="Z62" s="123"/>
      <c r="AA62" s="85"/>
    </row>
    <row r="63" spans="2:27" x14ac:dyDescent="0.25">
      <c r="B63" s="89" t="s">
        <v>608</v>
      </c>
      <c r="C63" s="89">
        <f t="shared" si="0"/>
        <v>60</v>
      </c>
      <c r="D63" s="88" t="s">
        <v>49</v>
      </c>
      <c r="E63" s="88" t="s">
        <v>315</v>
      </c>
      <c r="F63" s="88" t="s">
        <v>347</v>
      </c>
      <c r="G63" s="89" t="s">
        <v>77</v>
      </c>
      <c r="H63" s="90">
        <v>3204796646</v>
      </c>
      <c r="I63" s="122" t="s">
        <v>150</v>
      </c>
      <c r="J63" s="122" t="s">
        <v>296</v>
      </c>
      <c r="K63" s="122">
        <v>94543390</v>
      </c>
      <c r="L63" s="123">
        <v>0</v>
      </c>
      <c r="M63" s="123">
        <v>20</v>
      </c>
      <c r="N63" s="123">
        <v>11</v>
      </c>
      <c r="O63" s="123">
        <v>0</v>
      </c>
      <c r="P63" s="123">
        <v>0</v>
      </c>
      <c r="Q63" s="123">
        <v>0</v>
      </c>
      <c r="R63" s="123">
        <v>21</v>
      </c>
      <c r="S63" s="92">
        <v>21</v>
      </c>
      <c r="T63" s="92">
        <v>2</v>
      </c>
      <c r="U63" s="92">
        <v>20</v>
      </c>
      <c r="V63" s="92">
        <v>15</v>
      </c>
      <c r="W63" s="92">
        <v>20</v>
      </c>
      <c r="X63" s="92">
        <v>0</v>
      </c>
      <c r="Y63" s="123">
        <v>48</v>
      </c>
      <c r="Z63" s="123"/>
      <c r="AA63" s="85"/>
    </row>
    <row r="64" spans="2:27" x14ac:dyDescent="0.25">
      <c r="B64" s="45" t="s">
        <v>608</v>
      </c>
      <c r="C64" s="45">
        <f t="shared" si="0"/>
        <v>61</v>
      </c>
      <c r="D64" s="44" t="s">
        <v>49</v>
      </c>
      <c r="E64" s="44" t="s">
        <v>315</v>
      </c>
      <c r="F64" s="44" t="s">
        <v>347</v>
      </c>
      <c r="G64" s="45" t="s">
        <v>78</v>
      </c>
      <c r="H64" s="47">
        <v>3734192</v>
      </c>
      <c r="I64" s="48" t="s">
        <v>150</v>
      </c>
      <c r="J64" s="48" t="s">
        <v>263</v>
      </c>
      <c r="K64" s="48">
        <v>9855053</v>
      </c>
      <c r="L64" s="49">
        <v>0</v>
      </c>
      <c r="M64" s="49">
        <v>2</v>
      </c>
      <c r="N64" s="49">
        <v>2</v>
      </c>
      <c r="O64" s="49">
        <v>3</v>
      </c>
      <c r="P64" s="49">
        <v>7</v>
      </c>
      <c r="Q64" s="49">
        <v>7</v>
      </c>
      <c r="R64" s="49">
        <v>7</v>
      </c>
      <c r="S64" s="92">
        <v>4</v>
      </c>
      <c r="T64" s="92">
        <v>12</v>
      </c>
      <c r="U64" s="92">
        <v>5</v>
      </c>
      <c r="V64" s="92">
        <v>6</v>
      </c>
      <c r="W64" s="92">
        <v>6</v>
      </c>
      <c r="X64" s="92">
        <v>6</v>
      </c>
      <c r="Y64" s="123">
        <v>6</v>
      </c>
      <c r="Z64" s="123"/>
      <c r="AA64" s="85"/>
    </row>
    <row r="65" spans="2:27 16383:16384" hidden="1" x14ac:dyDescent="0.25">
      <c r="B65" s="30" t="s">
        <v>609</v>
      </c>
      <c r="C65" s="30">
        <f t="shared" si="0"/>
        <v>62</v>
      </c>
      <c r="D65" s="29" t="s">
        <v>49</v>
      </c>
      <c r="E65" s="29" t="s">
        <v>315</v>
      </c>
      <c r="F65" s="29" t="s">
        <v>347</v>
      </c>
      <c r="G65" s="30" t="s">
        <v>79</v>
      </c>
      <c r="H65" s="33">
        <v>3776919</v>
      </c>
      <c r="I65" s="31" t="s">
        <v>150</v>
      </c>
      <c r="J65" s="31" t="s">
        <v>265</v>
      </c>
      <c r="K65" s="31">
        <v>10115498</v>
      </c>
      <c r="L65" s="32">
        <v>0</v>
      </c>
      <c r="M65" s="32">
        <v>2</v>
      </c>
      <c r="N65" s="32">
        <v>0</v>
      </c>
      <c r="O65" s="32">
        <v>0</v>
      </c>
      <c r="P65" s="32"/>
      <c r="Q65" s="32"/>
      <c r="R65" s="32"/>
      <c r="S65" s="84"/>
      <c r="T65" s="84"/>
      <c r="U65" s="84"/>
      <c r="V65" s="84"/>
      <c r="W65" s="84"/>
      <c r="X65" s="84"/>
      <c r="Y65" s="84"/>
      <c r="Z65" s="84"/>
      <c r="AA65" s="55"/>
      <c r="XFC65" s="29"/>
      <c r="XFD65" s="30"/>
    </row>
    <row r="66" spans="2:27 16383:16384" x14ac:dyDescent="0.25">
      <c r="B66" s="45" t="s">
        <v>608</v>
      </c>
      <c r="C66" s="45">
        <f t="shared" si="0"/>
        <v>63</v>
      </c>
      <c r="D66" s="44" t="s">
        <v>49</v>
      </c>
      <c r="E66" s="44" t="s">
        <v>315</v>
      </c>
      <c r="F66" s="44" t="s">
        <v>347</v>
      </c>
      <c r="G66" s="45" t="s">
        <v>80</v>
      </c>
      <c r="H66" s="47">
        <v>4339595</v>
      </c>
      <c r="I66" s="48" t="s">
        <v>150</v>
      </c>
      <c r="J66" s="48" t="s">
        <v>262</v>
      </c>
      <c r="K66" s="48">
        <v>1118296911</v>
      </c>
      <c r="L66" s="49">
        <v>2</v>
      </c>
      <c r="M66" s="49">
        <v>0</v>
      </c>
      <c r="N66" s="49">
        <v>12</v>
      </c>
      <c r="O66" s="49">
        <v>3</v>
      </c>
      <c r="P66" s="49">
        <v>7</v>
      </c>
      <c r="Q66" s="49">
        <v>7</v>
      </c>
      <c r="R66" s="49">
        <v>14</v>
      </c>
      <c r="S66" s="92">
        <v>14</v>
      </c>
      <c r="T66" s="92">
        <v>12</v>
      </c>
      <c r="U66" s="92">
        <v>12</v>
      </c>
      <c r="V66" s="92">
        <v>10</v>
      </c>
      <c r="W66" s="92">
        <v>0</v>
      </c>
      <c r="X66" s="92">
        <v>8</v>
      </c>
      <c r="Y66" s="123">
        <v>12</v>
      </c>
      <c r="Z66" s="123"/>
      <c r="AA66" s="85"/>
    </row>
    <row r="67" spans="2:27 16383:16384" hidden="1" x14ac:dyDescent="0.25">
      <c r="B67" s="30" t="s">
        <v>609</v>
      </c>
      <c r="C67" s="30">
        <f t="shared" si="0"/>
        <v>64</v>
      </c>
      <c r="D67" s="29" t="s">
        <v>49</v>
      </c>
      <c r="E67" s="29" t="s">
        <v>315</v>
      </c>
      <c r="F67" s="29" t="s">
        <v>347</v>
      </c>
      <c r="G67" s="30" t="s">
        <v>81</v>
      </c>
      <c r="H67" s="87">
        <v>3185227444</v>
      </c>
      <c r="I67" s="83" t="s">
        <v>150</v>
      </c>
      <c r="J67" s="83" t="s">
        <v>261</v>
      </c>
      <c r="K67" s="83"/>
      <c r="L67" s="84">
        <v>0</v>
      </c>
      <c r="M67" s="32">
        <v>0</v>
      </c>
      <c r="N67" s="32">
        <v>0</v>
      </c>
      <c r="O67" s="32">
        <v>0</v>
      </c>
      <c r="P67" s="32">
        <v>0</v>
      </c>
      <c r="Q67" s="32"/>
      <c r="R67" s="32"/>
      <c r="S67" s="84"/>
      <c r="T67" s="84"/>
      <c r="U67" s="84"/>
      <c r="V67" s="84"/>
      <c r="W67" s="84"/>
      <c r="X67" s="84"/>
      <c r="Y67" s="84"/>
      <c r="Z67" s="84"/>
      <c r="AA67" s="86"/>
    </row>
    <row r="68" spans="2:27 16383:16384" x14ac:dyDescent="0.25">
      <c r="B68" s="45" t="s">
        <v>608</v>
      </c>
      <c r="C68" s="45">
        <f t="shared" si="0"/>
        <v>65</v>
      </c>
      <c r="D68" s="44" t="s">
        <v>49</v>
      </c>
      <c r="E68" s="44" t="s">
        <v>315</v>
      </c>
      <c r="F68" s="44" t="s">
        <v>347</v>
      </c>
      <c r="G68" s="45" t="s">
        <v>82</v>
      </c>
      <c r="H68" s="47">
        <v>4333355</v>
      </c>
      <c r="I68" s="48" t="s">
        <v>150</v>
      </c>
      <c r="J68" s="48" t="s">
        <v>260</v>
      </c>
      <c r="K68" s="48">
        <v>70830067</v>
      </c>
      <c r="L68" s="49">
        <v>0</v>
      </c>
      <c r="M68" s="49">
        <v>0</v>
      </c>
      <c r="N68" s="49">
        <v>9</v>
      </c>
      <c r="O68" s="49">
        <v>3</v>
      </c>
      <c r="P68" s="49">
        <v>7</v>
      </c>
      <c r="Q68" s="49">
        <v>7</v>
      </c>
      <c r="R68" s="49">
        <v>7</v>
      </c>
      <c r="S68" s="92">
        <v>7</v>
      </c>
      <c r="T68" s="92">
        <v>10</v>
      </c>
      <c r="U68" s="92">
        <v>12</v>
      </c>
      <c r="V68" s="92">
        <v>12</v>
      </c>
      <c r="W68" s="92">
        <v>6</v>
      </c>
      <c r="X68" s="92">
        <v>10</v>
      </c>
      <c r="Y68" s="123">
        <v>6</v>
      </c>
      <c r="Z68" s="123"/>
      <c r="AA68" s="85"/>
    </row>
    <row r="69" spans="2:27 16383:16384" x14ac:dyDescent="0.25">
      <c r="B69" s="45" t="s">
        <v>608</v>
      </c>
      <c r="C69" s="45">
        <f t="shared" si="0"/>
        <v>66</v>
      </c>
      <c r="D69" s="44" t="s">
        <v>49</v>
      </c>
      <c r="E69" s="44" t="s">
        <v>315</v>
      </c>
      <c r="F69" s="44" t="s">
        <v>347</v>
      </c>
      <c r="G69" s="45" t="s">
        <v>83</v>
      </c>
      <c r="H69" s="47">
        <v>3184662902</v>
      </c>
      <c r="I69" s="48" t="s">
        <v>150</v>
      </c>
      <c r="J69" s="48" t="s">
        <v>259</v>
      </c>
      <c r="K69" s="48">
        <v>66818508</v>
      </c>
      <c r="L69" s="49">
        <v>0</v>
      </c>
      <c r="M69" s="49">
        <v>0</v>
      </c>
      <c r="N69" s="49">
        <v>12</v>
      </c>
      <c r="O69" s="49">
        <v>3</v>
      </c>
      <c r="P69" s="49">
        <v>7</v>
      </c>
      <c r="Q69" s="49">
        <v>7</v>
      </c>
      <c r="R69" s="49">
        <v>0</v>
      </c>
      <c r="S69" s="92">
        <v>7</v>
      </c>
      <c r="T69" s="92">
        <v>20</v>
      </c>
      <c r="U69" s="92">
        <v>10</v>
      </c>
      <c r="V69" s="92">
        <v>6</v>
      </c>
      <c r="W69" s="92">
        <v>6</v>
      </c>
      <c r="X69" s="92">
        <v>0</v>
      </c>
      <c r="Y69" s="123">
        <v>20</v>
      </c>
      <c r="Z69" s="123"/>
      <c r="AA69" s="85"/>
    </row>
    <row r="70" spans="2:27 16383:16384" x14ac:dyDescent="0.25">
      <c r="B70" s="45" t="s">
        <v>608</v>
      </c>
      <c r="C70" s="45">
        <f t="shared" si="0"/>
        <v>67</v>
      </c>
      <c r="D70" s="44" t="s">
        <v>49</v>
      </c>
      <c r="E70" s="44" t="s">
        <v>315</v>
      </c>
      <c r="F70" s="44" t="s">
        <v>347</v>
      </c>
      <c r="G70" s="45" t="s">
        <v>84</v>
      </c>
      <c r="H70" s="47">
        <v>4412666</v>
      </c>
      <c r="I70" s="48" t="s">
        <v>150</v>
      </c>
      <c r="J70" s="48" t="s">
        <v>297</v>
      </c>
      <c r="K70" s="48">
        <v>6162317</v>
      </c>
      <c r="L70" s="49">
        <v>0</v>
      </c>
      <c r="M70" s="49">
        <v>0</v>
      </c>
      <c r="N70" s="49">
        <v>9</v>
      </c>
      <c r="O70" s="49">
        <v>3</v>
      </c>
      <c r="P70" s="49">
        <v>7</v>
      </c>
      <c r="Q70" s="49">
        <v>7</v>
      </c>
      <c r="R70" s="49">
        <v>5</v>
      </c>
      <c r="S70" s="92">
        <v>7</v>
      </c>
      <c r="T70" s="92">
        <v>5</v>
      </c>
      <c r="U70" s="92">
        <v>6</v>
      </c>
      <c r="V70" s="92">
        <v>6</v>
      </c>
      <c r="W70" s="92">
        <v>6</v>
      </c>
      <c r="X70" s="92">
        <v>2</v>
      </c>
      <c r="Y70" s="123">
        <v>0</v>
      </c>
      <c r="Z70" s="123"/>
      <c r="AA70" s="85"/>
    </row>
    <row r="71" spans="2:27 16383:16384" hidden="1" x14ac:dyDescent="0.25">
      <c r="B71" s="30" t="s">
        <v>609</v>
      </c>
      <c r="C71" s="30">
        <f t="shared" si="0"/>
        <v>68</v>
      </c>
      <c r="D71" s="29" t="s">
        <v>49</v>
      </c>
      <c r="E71" s="29" t="s">
        <v>315</v>
      </c>
      <c r="F71" s="29" t="s">
        <v>347</v>
      </c>
      <c r="G71" s="30" t="s">
        <v>85</v>
      </c>
      <c r="H71" s="33">
        <v>4441530</v>
      </c>
      <c r="I71" s="31" t="s">
        <v>150</v>
      </c>
      <c r="J71" s="31" t="s">
        <v>258</v>
      </c>
      <c r="K71" s="31">
        <v>31272995</v>
      </c>
      <c r="L71" s="32">
        <v>0</v>
      </c>
      <c r="M71" s="32">
        <v>0</v>
      </c>
      <c r="N71" s="32">
        <v>0</v>
      </c>
      <c r="O71" s="32"/>
      <c r="P71" s="32">
        <v>0</v>
      </c>
      <c r="Q71" s="32"/>
      <c r="R71" s="32"/>
      <c r="S71" s="84"/>
      <c r="T71" s="84"/>
      <c r="U71" s="84"/>
      <c r="V71" s="84"/>
      <c r="W71" s="84"/>
      <c r="X71" s="84"/>
      <c r="Y71" s="84"/>
      <c r="Z71" s="84"/>
      <c r="AA71" s="55"/>
    </row>
    <row r="72" spans="2:27 16383:16384" hidden="1" x14ac:dyDescent="0.25">
      <c r="B72" s="30" t="s">
        <v>609</v>
      </c>
      <c r="C72" s="30">
        <f t="shared" si="0"/>
        <v>69</v>
      </c>
      <c r="D72" s="29" t="s">
        <v>49</v>
      </c>
      <c r="E72" s="29" t="s">
        <v>315</v>
      </c>
      <c r="F72" s="29" t="s">
        <v>347</v>
      </c>
      <c r="G72" s="30" t="s">
        <v>86</v>
      </c>
      <c r="H72" s="33">
        <v>4454407</v>
      </c>
      <c r="I72" s="31" t="s">
        <v>150</v>
      </c>
      <c r="J72" s="31" t="s">
        <v>257</v>
      </c>
      <c r="K72" s="31">
        <v>41474010</v>
      </c>
      <c r="L72" s="32">
        <v>0</v>
      </c>
      <c r="M72" s="32">
        <v>0</v>
      </c>
      <c r="N72" s="32">
        <v>0</v>
      </c>
      <c r="O72" s="32"/>
      <c r="P72" s="32">
        <v>0</v>
      </c>
      <c r="Q72" s="32"/>
      <c r="R72" s="32"/>
      <c r="S72" s="84"/>
      <c r="T72" s="84"/>
      <c r="U72" s="84"/>
      <c r="V72" s="84"/>
      <c r="W72" s="84"/>
      <c r="X72" s="84"/>
      <c r="Y72" s="84"/>
      <c r="Z72" s="84"/>
      <c r="AA72" s="86"/>
    </row>
    <row r="73" spans="2:27 16383:16384" x14ac:dyDescent="0.25">
      <c r="B73" s="45" t="s">
        <v>608</v>
      </c>
      <c r="C73" s="45">
        <f t="shared" si="0"/>
        <v>70</v>
      </c>
      <c r="D73" s="44" t="s">
        <v>49</v>
      </c>
      <c r="E73" s="44" t="s">
        <v>315</v>
      </c>
      <c r="F73" s="44" t="s">
        <v>347</v>
      </c>
      <c r="G73" s="45" t="s">
        <v>87</v>
      </c>
      <c r="H73" s="47">
        <v>3154673318</v>
      </c>
      <c r="I73" s="48" t="s">
        <v>150</v>
      </c>
      <c r="J73" s="48" t="s">
        <v>256</v>
      </c>
      <c r="K73" s="48">
        <v>31988790</v>
      </c>
      <c r="L73" s="49">
        <v>0</v>
      </c>
      <c r="M73" s="49">
        <v>0</v>
      </c>
      <c r="N73" s="49">
        <v>12</v>
      </c>
      <c r="O73" s="49">
        <v>3</v>
      </c>
      <c r="P73" s="49">
        <v>7</v>
      </c>
      <c r="Q73" s="49">
        <v>0</v>
      </c>
      <c r="R73" s="49">
        <v>7</v>
      </c>
      <c r="S73" s="92">
        <v>5</v>
      </c>
      <c r="T73" s="92">
        <v>8</v>
      </c>
      <c r="U73" s="92">
        <v>12</v>
      </c>
      <c r="V73" s="92">
        <v>5</v>
      </c>
      <c r="W73" s="92">
        <v>4</v>
      </c>
      <c r="X73" s="92">
        <v>5</v>
      </c>
      <c r="Y73" s="123">
        <v>6</v>
      </c>
      <c r="Z73" s="123"/>
      <c r="AA73" s="85"/>
    </row>
    <row r="74" spans="2:27 16383:16384" hidden="1" x14ac:dyDescent="0.25">
      <c r="B74" s="30" t="s">
        <v>609</v>
      </c>
      <c r="C74" s="30">
        <f t="shared" si="0"/>
        <v>71</v>
      </c>
      <c r="D74" s="29" t="s">
        <v>49</v>
      </c>
      <c r="E74" s="29" t="s">
        <v>315</v>
      </c>
      <c r="F74" s="29" t="s">
        <v>347</v>
      </c>
      <c r="G74" s="30" t="s">
        <v>88</v>
      </c>
      <c r="H74" s="33">
        <v>3174705696</v>
      </c>
      <c r="I74" s="31" t="s">
        <v>150</v>
      </c>
      <c r="J74" s="31" t="s">
        <v>298</v>
      </c>
      <c r="K74" s="31">
        <v>967023320</v>
      </c>
      <c r="L74" s="32">
        <v>0</v>
      </c>
      <c r="M74" s="32">
        <v>2</v>
      </c>
      <c r="N74" s="32">
        <v>0</v>
      </c>
      <c r="O74" s="32"/>
      <c r="P74" s="32"/>
      <c r="Q74" s="32"/>
      <c r="R74" s="32"/>
      <c r="S74" s="84"/>
      <c r="T74" s="84"/>
      <c r="U74" s="84"/>
      <c r="V74" s="84"/>
      <c r="W74" s="84"/>
      <c r="X74" s="84"/>
      <c r="Y74" s="84"/>
      <c r="Z74" s="84"/>
      <c r="AA74" s="86"/>
    </row>
    <row r="75" spans="2:27 16383:16384" x14ac:dyDescent="0.25">
      <c r="B75" s="45" t="s">
        <v>608</v>
      </c>
      <c r="C75" s="45">
        <f t="shared" si="0"/>
        <v>72</v>
      </c>
      <c r="D75" s="44" t="s">
        <v>49</v>
      </c>
      <c r="E75" s="44" t="s">
        <v>315</v>
      </c>
      <c r="F75" s="44" t="s">
        <v>347</v>
      </c>
      <c r="G75" s="45" t="s">
        <v>89</v>
      </c>
      <c r="H75" s="47">
        <v>3113630033</v>
      </c>
      <c r="I75" s="48" t="s">
        <v>150</v>
      </c>
      <c r="J75" s="48" t="s">
        <v>148</v>
      </c>
      <c r="K75" s="48">
        <v>16713789</v>
      </c>
      <c r="L75" s="49">
        <v>0</v>
      </c>
      <c r="M75" s="49">
        <v>0</v>
      </c>
      <c r="N75" s="49">
        <v>11</v>
      </c>
      <c r="O75" s="49">
        <v>0</v>
      </c>
      <c r="P75" s="49">
        <v>0</v>
      </c>
      <c r="Q75" s="49">
        <v>0</v>
      </c>
      <c r="R75" s="49">
        <v>7</v>
      </c>
      <c r="S75" s="92">
        <v>7</v>
      </c>
      <c r="T75" s="92">
        <v>12</v>
      </c>
      <c r="U75" s="92">
        <v>6</v>
      </c>
      <c r="V75" s="92">
        <v>8</v>
      </c>
      <c r="W75" s="92">
        <v>2</v>
      </c>
      <c r="X75" s="92">
        <v>0</v>
      </c>
      <c r="Y75" s="123">
        <v>0</v>
      </c>
      <c r="Z75" s="123"/>
      <c r="AA75" s="85"/>
    </row>
    <row r="76" spans="2:27 16383:16384" x14ac:dyDescent="0.25">
      <c r="B76" s="45" t="s">
        <v>608</v>
      </c>
      <c r="C76" s="45">
        <f t="shared" si="0"/>
        <v>73</v>
      </c>
      <c r="D76" s="44" t="s">
        <v>90</v>
      </c>
      <c r="E76" s="44" t="s">
        <v>315</v>
      </c>
      <c r="F76" s="44" t="s">
        <v>347</v>
      </c>
      <c r="G76" s="45" t="s">
        <v>91</v>
      </c>
      <c r="H76" s="47">
        <v>3006673631</v>
      </c>
      <c r="I76" s="48" t="s">
        <v>150</v>
      </c>
      <c r="J76" s="48" t="s">
        <v>299</v>
      </c>
      <c r="K76" s="48">
        <v>1130679015</v>
      </c>
      <c r="L76" s="49">
        <v>0</v>
      </c>
      <c r="M76" s="49">
        <v>2</v>
      </c>
      <c r="N76" s="49">
        <v>5</v>
      </c>
      <c r="O76" s="49">
        <v>3</v>
      </c>
      <c r="P76" s="49">
        <v>7</v>
      </c>
      <c r="Q76" s="49">
        <v>0</v>
      </c>
      <c r="R76" s="49">
        <v>7</v>
      </c>
      <c r="S76" s="92">
        <v>3</v>
      </c>
      <c r="T76" s="92">
        <v>16</v>
      </c>
      <c r="U76" s="92">
        <v>0</v>
      </c>
      <c r="V76" s="92">
        <v>3</v>
      </c>
      <c r="W76" s="92">
        <v>16</v>
      </c>
      <c r="X76" s="92">
        <v>0</v>
      </c>
      <c r="Y76" s="123">
        <v>12</v>
      </c>
      <c r="Z76" s="123"/>
      <c r="AA76" s="85"/>
    </row>
    <row r="77" spans="2:27 16383:16384" x14ac:dyDescent="0.25">
      <c r="B77" s="45" t="s">
        <v>608</v>
      </c>
      <c r="C77" s="45">
        <f t="shared" si="0"/>
        <v>74</v>
      </c>
      <c r="D77" s="44" t="s">
        <v>90</v>
      </c>
      <c r="E77" s="44" t="s">
        <v>315</v>
      </c>
      <c r="F77" s="44" t="s">
        <v>347</v>
      </c>
      <c r="G77" s="45" t="s">
        <v>92</v>
      </c>
      <c r="H77" s="47">
        <v>3174559610</v>
      </c>
      <c r="I77" s="48" t="s">
        <v>150</v>
      </c>
      <c r="J77" s="48" t="s">
        <v>266</v>
      </c>
      <c r="K77" s="48">
        <v>66993437</v>
      </c>
      <c r="L77" s="49">
        <v>0</v>
      </c>
      <c r="M77" s="49">
        <v>4</v>
      </c>
      <c r="N77" s="49">
        <v>2</v>
      </c>
      <c r="O77" s="49">
        <v>3</v>
      </c>
      <c r="P77" s="49">
        <v>7</v>
      </c>
      <c r="Q77" s="49">
        <v>0</v>
      </c>
      <c r="R77" s="49">
        <v>3</v>
      </c>
      <c r="S77" s="92">
        <v>3</v>
      </c>
      <c r="T77" s="92">
        <v>0</v>
      </c>
      <c r="U77" s="92">
        <v>0</v>
      </c>
      <c r="V77" s="92">
        <v>6</v>
      </c>
      <c r="W77" s="92">
        <v>12</v>
      </c>
      <c r="X77" s="92">
        <v>0</v>
      </c>
      <c r="Y77" s="123">
        <v>10</v>
      </c>
      <c r="Z77" s="123"/>
      <c r="AA77" s="85"/>
    </row>
    <row r="78" spans="2:27 16383:16384" x14ac:dyDescent="0.25">
      <c r="B78" s="45" t="s">
        <v>608</v>
      </c>
      <c r="C78" s="45">
        <f t="shared" ref="C78:C141" si="1">+C77+1</f>
        <v>75</v>
      </c>
      <c r="D78" s="44" t="s">
        <v>90</v>
      </c>
      <c r="E78" s="44" t="s">
        <v>315</v>
      </c>
      <c r="F78" s="44" t="s">
        <v>347</v>
      </c>
      <c r="G78" s="45" t="s">
        <v>93</v>
      </c>
      <c r="H78" s="47">
        <v>3122879341</v>
      </c>
      <c r="I78" s="48" t="s">
        <v>150</v>
      </c>
      <c r="J78" s="48" t="s">
        <v>264</v>
      </c>
      <c r="K78" s="48">
        <v>10389034</v>
      </c>
      <c r="L78" s="49">
        <v>0</v>
      </c>
      <c r="M78" s="49">
        <v>0</v>
      </c>
      <c r="N78" s="49">
        <v>4</v>
      </c>
      <c r="O78" s="49">
        <v>3</v>
      </c>
      <c r="P78" s="49">
        <v>7</v>
      </c>
      <c r="Q78" s="49">
        <v>0</v>
      </c>
      <c r="R78" s="49">
        <v>0</v>
      </c>
      <c r="S78" s="92">
        <v>7</v>
      </c>
      <c r="T78" s="92">
        <v>8</v>
      </c>
      <c r="U78" s="92">
        <v>0</v>
      </c>
      <c r="V78" s="92">
        <v>2</v>
      </c>
      <c r="W78" s="92">
        <v>15</v>
      </c>
      <c r="X78" s="92">
        <v>0</v>
      </c>
      <c r="Y78" s="123">
        <v>14</v>
      </c>
      <c r="Z78" s="123"/>
      <c r="AA78" s="85"/>
    </row>
    <row r="79" spans="2:27 16383:16384" hidden="1" x14ac:dyDescent="0.25">
      <c r="B79" s="30" t="s">
        <v>609</v>
      </c>
      <c r="C79" s="30">
        <f t="shared" si="1"/>
        <v>76</v>
      </c>
      <c r="D79" s="29" t="s">
        <v>49</v>
      </c>
      <c r="E79" s="29" t="s">
        <v>315</v>
      </c>
      <c r="F79" s="29" t="s">
        <v>347</v>
      </c>
      <c r="G79" s="30" t="s">
        <v>94</v>
      </c>
      <c r="H79" s="33">
        <v>3122765236</v>
      </c>
      <c r="I79" s="31" t="s">
        <v>150</v>
      </c>
      <c r="J79" s="31" t="s">
        <v>284</v>
      </c>
      <c r="K79" s="31">
        <v>67013451</v>
      </c>
      <c r="L79" s="32">
        <v>0</v>
      </c>
      <c r="M79" s="32">
        <v>0</v>
      </c>
      <c r="N79" s="32">
        <v>0</v>
      </c>
      <c r="O79" s="32"/>
      <c r="P79" s="32"/>
      <c r="Q79" s="32"/>
      <c r="R79" s="32"/>
      <c r="S79" s="84"/>
      <c r="T79" s="84"/>
      <c r="U79" s="84"/>
      <c r="V79" s="84"/>
      <c r="W79" s="84"/>
      <c r="X79" s="84"/>
      <c r="Y79" s="84"/>
      <c r="Z79" s="84"/>
      <c r="AA79" s="55"/>
    </row>
    <row r="80" spans="2:27 16383:16384" hidden="1" x14ac:dyDescent="0.25">
      <c r="B80" s="30" t="s">
        <v>609</v>
      </c>
      <c r="C80" s="30">
        <f t="shared" si="1"/>
        <v>77</v>
      </c>
      <c r="D80" s="29" t="s">
        <v>49</v>
      </c>
      <c r="E80" s="29" t="s">
        <v>315</v>
      </c>
      <c r="F80" s="29" t="s">
        <v>347</v>
      </c>
      <c r="G80" s="30" t="s">
        <v>95</v>
      </c>
      <c r="H80" s="33">
        <v>5528043</v>
      </c>
      <c r="I80" s="31" t="s">
        <v>150</v>
      </c>
      <c r="J80" s="31" t="s">
        <v>283</v>
      </c>
      <c r="K80" s="31">
        <v>94507583</v>
      </c>
      <c r="L80" s="32">
        <v>0</v>
      </c>
      <c r="M80" s="32">
        <v>0</v>
      </c>
      <c r="N80" s="32">
        <v>0</v>
      </c>
      <c r="O80" s="32"/>
      <c r="P80" s="32"/>
      <c r="Q80" s="32"/>
      <c r="R80" s="32"/>
      <c r="S80" s="84"/>
      <c r="T80" s="84"/>
      <c r="U80" s="84"/>
      <c r="V80" s="84"/>
      <c r="W80" s="84"/>
      <c r="X80" s="84"/>
      <c r="Y80" s="84"/>
      <c r="Z80" s="84"/>
      <c r="AA80" s="86"/>
    </row>
    <row r="81" spans="2:27" hidden="1" x14ac:dyDescent="0.25">
      <c r="B81" s="82" t="s">
        <v>609</v>
      </c>
      <c r="C81" s="82">
        <f t="shared" si="1"/>
        <v>78</v>
      </c>
      <c r="D81" s="81" t="s">
        <v>49</v>
      </c>
      <c r="E81" s="81" t="s">
        <v>315</v>
      </c>
      <c r="F81" s="81" t="s">
        <v>347</v>
      </c>
      <c r="G81" s="82" t="s">
        <v>96</v>
      </c>
      <c r="H81" s="87">
        <v>3153169323</v>
      </c>
      <c r="I81" s="83" t="s">
        <v>150</v>
      </c>
      <c r="J81" s="83" t="s">
        <v>282</v>
      </c>
      <c r="K81" s="83">
        <v>66983025</v>
      </c>
      <c r="L81" s="84">
        <v>0</v>
      </c>
      <c r="M81" s="84">
        <v>0</v>
      </c>
      <c r="N81" s="84">
        <v>3</v>
      </c>
      <c r="O81" s="84">
        <v>0</v>
      </c>
      <c r="P81" s="84">
        <v>0</v>
      </c>
      <c r="Q81" s="84">
        <v>0</v>
      </c>
      <c r="R81" s="84">
        <v>0</v>
      </c>
      <c r="S81" s="84"/>
      <c r="T81" s="84"/>
      <c r="U81" s="84"/>
      <c r="V81" s="84"/>
      <c r="W81" s="84"/>
      <c r="X81" s="84"/>
      <c r="Y81" s="84"/>
      <c r="Z81" s="84"/>
      <c r="AA81" s="86"/>
    </row>
    <row r="82" spans="2:27" hidden="1" x14ac:dyDescent="0.25">
      <c r="B82" s="82" t="s">
        <v>609</v>
      </c>
      <c r="C82" s="82">
        <f t="shared" si="1"/>
        <v>79</v>
      </c>
      <c r="D82" s="81" t="s">
        <v>49</v>
      </c>
      <c r="E82" s="81" t="s">
        <v>315</v>
      </c>
      <c r="F82" s="81" t="s">
        <v>347</v>
      </c>
      <c r="G82" s="82" t="s">
        <v>51</v>
      </c>
      <c r="H82" s="87">
        <v>5523530</v>
      </c>
      <c r="I82" s="83" t="s">
        <v>150</v>
      </c>
      <c r="J82" s="83" t="s">
        <v>281</v>
      </c>
      <c r="K82" s="83">
        <v>1130591583</v>
      </c>
      <c r="L82" s="84">
        <v>0</v>
      </c>
      <c r="M82" s="84">
        <v>4</v>
      </c>
      <c r="N82" s="84">
        <v>3</v>
      </c>
      <c r="O82" s="84">
        <v>0</v>
      </c>
      <c r="P82" s="84">
        <v>0</v>
      </c>
      <c r="Q82" s="84">
        <v>0</v>
      </c>
      <c r="R82" s="84">
        <v>3</v>
      </c>
      <c r="S82" s="84">
        <v>0</v>
      </c>
      <c r="T82" s="84"/>
      <c r="U82" s="84">
        <v>0</v>
      </c>
      <c r="V82" s="84">
        <v>0</v>
      </c>
      <c r="W82" s="84"/>
      <c r="X82" s="84"/>
      <c r="Y82" s="84"/>
      <c r="Z82" s="84"/>
      <c r="AA82" s="86"/>
    </row>
    <row r="83" spans="2:27" hidden="1" x14ac:dyDescent="0.25">
      <c r="B83" s="82" t="s">
        <v>609</v>
      </c>
      <c r="C83" s="82">
        <f t="shared" si="1"/>
        <v>80</v>
      </c>
      <c r="D83" s="81" t="s">
        <v>49</v>
      </c>
      <c r="E83" s="81" t="s">
        <v>315</v>
      </c>
      <c r="F83" s="81" t="s">
        <v>347</v>
      </c>
      <c r="G83" s="82" t="s">
        <v>97</v>
      </c>
      <c r="H83" s="87">
        <v>5524171</v>
      </c>
      <c r="I83" s="83" t="s">
        <v>150</v>
      </c>
      <c r="J83" s="83" t="s">
        <v>280</v>
      </c>
      <c r="K83" s="83">
        <v>94517200</v>
      </c>
      <c r="L83" s="84">
        <v>0</v>
      </c>
      <c r="M83" s="84">
        <v>4</v>
      </c>
      <c r="N83" s="84">
        <v>2</v>
      </c>
      <c r="O83" s="84">
        <v>0</v>
      </c>
      <c r="P83" s="84">
        <v>0</v>
      </c>
      <c r="Q83" s="84">
        <v>0</v>
      </c>
      <c r="R83" s="84">
        <v>0</v>
      </c>
      <c r="S83" s="84"/>
      <c r="T83" s="84"/>
      <c r="U83" s="84"/>
      <c r="V83" s="84"/>
      <c r="W83" s="84"/>
      <c r="X83" s="84"/>
      <c r="Y83" s="84"/>
      <c r="Z83" s="84"/>
      <c r="AA83" s="86"/>
    </row>
    <row r="84" spans="2:27" hidden="1" x14ac:dyDescent="0.25">
      <c r="B84" s="30" t="s">
        <v>609</v>
      </c>
      <c r="C84" s="30">
        <f t="shared" si="1"/>
        <v>81</v>
      </c>
      <c r="D84" s="29" t="s">
        <v>49</v>
      </c>
      <c r="E84" s="29" t="s">
        <v>315</v>
      </c>
      <c r="F84" s="29" t="s">
        <v>347</v>
      </c>
      <c r="G84" s="30" t="s">
        <v>52</v>
      </c>
      <c r="H84" s="33">
        <v>5132654</v>
      </c>
      <c r="I84" s="31" t="s">
        <v>150</v>
      </c>
      <c r="J84" s="31" t="s">
        <v>279</v>
      </c>
      <c r="K84" s="31">
        <v>31220703</v>
      </c>
      <c r="L84" s="32">
        <v>0</v>
      </c>
      <c r="M84" s="32">
        <v>0</v>
      </c>
      <c r="N84" s="32">
        <v>0</v>
      </c>
      <c r="O84" s="32"/>
      <c r="P84" s="32"/>
      <c r="Q84" s="32"/>
      <c r="R84" s="32"/>
      <c r="S84" s="84"/>
      <c r="T84" s="84"/>
      <c r="U84" s="84"/>
      <c r="V84" s="84"/>
      <c r="W84" s="84"/>
      <c r="X84" s="84"/>
      <c r="Y84" s="84"/>
      <c r="Z84" s="84"/>
      <c r="AA84" s="86"/>
    </row>
    <row r="85" spans="2:27" x14ac:dyDescent="0.25">
      <c r="B85" s="45" t="s">
        <v>608</v>
      </c>
      <c r="C85" s="45">
        <f t="shared" si="1"/>
        <v>82</v>
      </c>
      <c r="D85" s="44" t="s">
        <v>49</v>
      </c>
      <c r="E85" s="44" t="s">
        <v>315</v>
      </c>
      <c r="F85" s="44" t="s">
        <v>347</v>
      </c>
      <c r="G85" s="45" t="s">
        <v>98</v>
      </c>
      <c r="H85" s="47">
        <v>5136160</v>
      </c>
      <c r="I85" s="48" t="s">
        <v>150</v>
      </c>
      <c r="J85" s="48" t="s">
        <v>278</v>
      </c>
      <c r="K85" s="48">
        <v>6102380</v>
      </c>
      <c r="L85" s="49">
        <v>0</v>
      </c>
      <c r="M85" s="49">
        <v>0</v>
      </c>
      <c r="N85" s="49">
        <v>2</v>
      </c>
      <c r="O85" s="49">
        <v>3</v>
      </c>
      <c r="P85" s="49">
        <v>7</v>
      </c>
      <c r="Q85" s="49">
        <v>0</v>
      </c>
      <c r="R85" s="49">
        <v>0</v>
      </c>
      <c r="S85" s="92">
        <v>3</v>
      </c>
      <c r="T85" s="92">
        <v>0</v>
      </c>
      <c r="U85" s="92">
        <v>5</v>
      </c>
      <c r="V85" s="92">
        <v>6</v>
      </c>
      <c r="W85" s="92">
        <v>5</v>
      </c>
      <c r="X85" s="92">
        <v>3</v>
      </c>
      <c r="Y85" s="123">
        <v>0</v>
      </c>
      <c r="Z85" s="123"/>
      <c r="AA85" s="85"/>
    </row>
    <row r="86" spans="2:27" hidden="1" x14ac:dyDescent="0.25">
      <c r="B86" s="30" t="s">
        <v>609</v>
      </c>
      <c r="C86" s="30">
        <f t="shared" si="1"/>
        <v>83</v>
      </c>
      <c r="D86" s="29" t="s">
        <v>49</v>
      </c>
      <c r="E86" s="29" t="s">
        <v>315</v>
      </c>
      <c r="F86" s="29" t="s">
        <v>347</v>
      </c>
      <c r="G86" s="30" t="s">
        <v>99</v>
      </c>
      <c r="H86" s="33">
        <v>3157691554</v>
      </c>
      <c r="I86" s="31" t="s">
        <v>150</v>
      </c>
      <c r="J86" s="31" t="s">
        <v>277</v>
      </c>
      <c r="K86" s="56">
        <v>1117016699</v>
      </c>
      <c r="L86" s="32">
        <v>0</v>
      </c>
      <c r="M86" s="32">
        <v>0</v>
      </c>
      <c r="N86" s="32">
        <v>0</v>
      </c>
      <c r="O86" s="32"/>
      <c r="P86" s="32"/>
      <c r="Q86" s="32"/>
      <c r="R86" s="32"/>
      <c r="S86" s="84"/>
      <c r="T86" s="84"/>
      <c r="U86" s="84"/>
      <c r="V86" s="84"/>
      <c r="W86" s="84"/>
      <c r="X86" s="84"/>
      <c r="Y86" s="84"/>
      <c r="Z86" s="84"/>
      <c r="AA86" s="86"/>
    </row>
    <row r="87" spans="2:27" hidden="1" x14ac:dyDescent="0.25">
      <c r="B87" s="30" t="s">
        <v>609</v>
      </c>
      <c r="C87" s="30">
        <f t="shared" si="1"/>
        <v>84</v>
      </c>
      <c r="D87" s="29" t="s">
        <v>49</v>
      </c>
      <c r="E87" s="29" t="s">
        <v>315</v>
      </c>
      <c r="F87" s="29" t="s">
        <v>347</v>
      </c>
      <c r="G87" s="30" t="s">
        <v>100</v>
      </c>
      <c r="H87" s="33">
        <v>3122226944</v>
      </c>
      <c r="I87" s="31" t="s">
        <v>150</v>
      </c>
      <c r="J87" s="31" t="s">
        <v>277</v>
      </c>
      <c r="K87" s="31">
        <v>1117016699</v>
      </c>
      <c r="L87" s="32">
        <v>0</v>
      </c>
      <c r="M87" s="32">
        <v>0</v>
      </c>
      <c r="N87" s="32">
        <v>0</v>
      </c>
      <c r="O87" s="32"/>
      <c r="P87" s="32"/>
      <c r="Q87" s="32"/>
      <c r="R87" s="32"/>
      <c r="S87" s="84"/>
      <c r="T87" s="84"/>
      <c r="U87" s="84"/>
      <c r="V87" s="84"/>
      <c r="W87" s="84"/>
      <c r="X87" s="84"/>
      <c r="Y87" s="84"/>
      <c r="Z87" s="84"/>
      <c r="AA87" s="86"/>
    </row>
    <row r="88" spans="2:27" x14ac:dyDescent="0.25">
      <c r="B88" s="45" t="s">
        <v>608</v>
      </c>
      <c r="C88" s="45">
        <f t="shared" si="1"/>
        <v>85</v>
      </c>
      <c r="D88" s="44" t="s">
        <v>49</v>
      </c>
      <c r="E88" s="44" t="s">
        <v>315</v>
      </c>
      <c r="F88" s="44" t="s">
        <v>347</v>
      </c>
      <c r="G88" s="45" t="s">
        <v>101</v>
      </c>
      <c r="H88" s="47">
        <v>4468365</v>
      </c>
      <c r="I88" s="48" t="s">
        <v>150</v>
      </c>
      <c r="J88" s="48" t="s">
        <v>276</v>
      </c>
      <c r="K88" s="48">
        <v>12985122</v>
      </c>
      <c r="L88" s="49">
        <v>0</v>
      </c>
      <c r="M88" s="49">
        <v>0</v>
      </c>
      <c r="N88" s="49">
        <v>3</v>
      </c>
      <c r="O88" s="49">
        <v>3</v>
      </c>
      <c r="P88" s="49">
        <v>7</v>
      </c>
      <c r="Q88" s="49">
        <v>0</v>
      </c>
      <c r="R88" s="49">
        <v>0</v>
      </c>
      <c r="S88" s="92">
        <v>3</v>
      </c>
      <c r="T88" s="92">
        <v>5</v>
      </c>
      <c r="U88" s="92">
        <v>5</v>
      </c>
      <c r="V88" s="92">
        <v>7</v>
      </c>
      <c r="W88" s="92">
        <v>5</v>
      </c>
      <c r="X88" s="92">
        <v>3</v>
      </c>
      <c r="Y88" s="123">
        <v>3</v>
      </c>
      <c r="Z88" s="123"/>
      <c r="AA88" s="85"/>
    </row>
    <row r="89" spans="2:27" ht="15.75" hidden="1" x14ac:dyDescent="0.25">
      <c r="B89" s="35" t="s">
        <v>609</v>
      </c>
      <c r="C89" s="35">
        <f t="shared" si="1"/>
        <v>86</v>
      </c>
      <c r="D89" s="36" t="s">
        <v>49</v>
      </c>
      <c r="E89" s="36" t="s">
        <v>315</v>
      </c>
      <c r="F89" s="29" t="s">
        <v>347</v>
      </c>
      <c r="G89" s="35" t="s">
        <v>102</v>
      </c>
      <c r="H89" s="37">
        <v>3726226</v>
      </c>
      <c r="I89" s="38" t="s">
        <v>150</v>
      </c>
      <c r="J89" s="38" t="s">
        <v>275</v>
      </c>
      <c r="K89" s="38">
        <v>6548730</v>
      </c>
      <c r="L89" s="39">
        <v>0</v>
      </c>
      <c r="M89" s="39">
        <v>0</v>
      </c>
      <c r="N89" s="39">
        <v>0</v>
      </c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86"/>
    </row>
    <row r="90" spans="2:27" hidden="1" x14ac:dyDescent="0.25">
      <c r="B90" s="30" t="s">
        <v>609</v>
      </c>
      <c r="C90" s="30">
        <f t="shared" si="1"/>
        <v>87</v>
      </c>
      <c r="D90" s="29" t="s">
        <v>49</v>
      </c>
      <c r="E90" s="29" t="s">
        <v>315</v>
      </c>
      <c r="F90" s="29" t="s">
        <v>347</v>
      </c>
      <c r="G90" s="30" t="s">
        <v>103</v>
      </c>
      <c r="H90" s="33">
        <v>3217340706</v>
      </c>
      <c r="I90" s="31" t="s">
        <v>150</v>
      </c>
      <c r="J90" s="31" t="s">
        <v>274</v>
      </c>
      <c r="K90" s="31">
        <v>1130656816</v>
      </c>
      <c r="L90" s="32">
        <v>4</v>
      </c>
      <c r="M90" s="32">
        <v>0</v>
      </c>
      <c r="N90" s="32">
        <v>0</v>
      </c>
      <c r="O90" s="32"/>
      <c r="P90" s="32"/>
      <c r="Q90" s="32"/>
      <c r="R90" s="32"/>
      <c r="S90" s="84"/>
      <c r="T90" s="84"/>
      <c r="U90" s="84"/>
      <c r="V90" s="84"/>
      <c r="W90" s="84"/>
      <c r="X90" s="84"/>
      <c r="Y90" s="84"/>
      <c r="Z90" s="84"/>
      <c r="AA90" s="86"/>
    </row>
    <row r="91" spans="2:27" hidden="1" x14ac:dyDescent="0.25">
      <c r="B91" s="82" t="s">
        <v>609</v>
      </c>
      <c r="C91" s="82">
        <f t="shared" si="1"/>
        <v>88</v>
      </c>
      <c r="D91" s="81" t="s">
        <v>49</v>
      </c>
      <c r="E91" s="81" t="s">
        <v>315</v>
      </c>
      <c r="F91" s="81" t="s">
        <v>347</v>
      </c>
      <c r="G91" s="82" t="s">
        <v>104</v>
      </c>
      <c r="H91" s="87">
        <v>3780230</v>
      </c>
      <c r="I91" s="83" t="s">
        <v>150</v>
      </c>
      <c r="J91" s="83" t="s">
        <v>273</v>
      </c>
      <c r="K91" s="83">
        <v>31987561</v>
      </c>
      <c r="L91" s="84">
        <v>0</v>
      </c>
      <c r="M91" s="84">
        <v>0</v>
      </c>
      <c r="N91" s="84">
        <v>4</v>
      </c>
      <c r="O91" s="84">
        <v>0</v>
      </c>
      <c r="P91" s="84">
        <v>0</v>
      </c>
      <c r="Q91" s="84">
        <v>0</v>
      </c>
      <c r="R91" s="84">
        <v>0</v>
      </c>
      <c r="S91" s="84"/>
      <c r="T91" s="84"/>
      <c r="U91" s="84"/>
      <c r="V91" s="84"/>
      <c r="W91" s="84"/>
      <c r="X91" s="84"/>
      <c r="Y91" s="84"/>
      <c r="Z91" s="84"/>
      <c r="AA91" s="86"/>
    </row>
    <row r="92" spans="2:27" x14ac:dyDescent="0.25">
      <c r="B92" s="45" t="s">
        <v>608</v>
      </c>
      <c r="C92" s="45">
        <f t="shared" si="1"/>
        <v>89</v>
      </c>
      <c r="D92" s="44" t="s">
        <v>49</v>
      </c>
      <c r="E92" s="44" t="s">
        <v>315</v>
      </c>
      <c r="F92" s="44" t="s">
        <v>347</v>
      </c>
      <c r="G92" s="45" t="s">
        <v>105</v>
      </c>
      <c r="H92" s="47">
        <v>3137849701</v>
      </c>
      <c r="I92" s="48" t="s">
        <v>150</v>
      </c>
      <c r="J92" s="48" t="s">
        <v>272</v>
      </c>
      <c r="K92" s="48">
        <v>38671009</v>
      </c>
      <c r="L92" s="49">
        <v>0</v>
      </c>
      <c r="M92" s="49">
        <v>0</v>
      </c>
      <c r="N92" s="49">
        <v>4</v>
      </c>
      <c r="O92" s="49">
        <v>7</v>
      </c>
      <c r="P92" s="49">
        <v>14</v>
      </c>
      <c r="Q92" s="49">
        <v>0</v>
      </c>
      <c r="R92" s="49">
        <v>0</v>
      </c>
      <c r="S92" s="92">
        <v>3</v>
      </c>
      <c r="T92" s="92">
        <v>5</v>
      </c>
      <c r="U92" s="92">
        <v>3</v>
      </c>
      <c r="V92" s="92">
        <v>3</v>
      </c>
      <c r="W92" s="92">
        <v>5</v>
      </c>
      <c r="X92" s="92">
        <v>3</v>
      </c>
      <c r="Y92" s="123">
        <v>3</v>
      </c>
      <c r="Z92" s="123"/>
      <c r="AA92" s="85"/>
    </row>
    <row r="93" spans="2:27" hidden="1" x14ac:dyDescent="0.25">
      <c r="B93" s="30" t="s">
        <v>609</v>
      </c>
      <c r="C93" s="30">
        <f t="shared" si="1"/>
        <v>90</v>
      </c>
      <c r="D93" s="29" t="s">
        <v>49</v>
      </c>
      <c r="E93" s="29" t="s">
        <v>315</v>
      </c>
      <c r="F93" s="29" t="s">
        <v>347</v>
      </c>
      <c r="G93" s="30" t="s">
        <v>106</v>
      </c>
      <c r="H93" s="33">
        <v>3348473</v>
      </c>
      <c r="I93" s="31" t="s">
        <v>150</v>
      </c>
      <c r="J93" s="31" t="s">
        <v>271</v>
      </c>
      <c r="K93" s="31">
        <v>15903476</v>
      </c>
      <c r="L93" s="32">
        <v>0</v>
      </c>
      <c r="M93" s="32">
        <v>0</v>
      </c>
      <c r="N93" s="32">
        <v>0</v>
      </c>
      <c r="O93" s="32"/>
      <c r="P93" s="32"/>
      <c r="Q93" s="32"/>
      <c r="R93" s="32"/>
      <c r="S93" s="84"/>
      <c r="T93" s="84"/>
      <c r="U93" s="84"/>
      <c r="V93" s="84"/>
      <c r="W93" s="84"/>
      <c r="X93" s="84"/>
      <c r="Y93" s="84"/>
      <c r="Z93" s="84"/>
      <c r="AA93" s="86"/>
    </row>
    <row r="94" spans="2:27" hidden="1" x14ac:dyDescent="0.25">
      <c r="B94" s="30" t="s">
        <v>609</v>
      </c>
      <c r="C94" s="30">
        <f t="shared" si="1"/>
        <v>91</v>
      </c>
      <c r="D94" s="29" t="s">
        <v>49</v>
      </c>
      <c r="E94" s="29" t="s">
        <v>315</v>
      </c>
      <c r="F94" s="29" t="s">
        <v>347</v>
      </c>
      <c r="G94" s="30" t="s">
        <v>108</v>
      </c>
      <c r="H94" s="33">
        <v>3937543</v>
      </c>
      <c r="I94" s="31" t="s">
        <v>150</v>
      </c>
      <c r="J94" s="31" t="s">
        <v>269</v>
      </c>
      <c r="K94" s="31">
        <v>16759330</v>
      </c>
      <c r="L94" s="32">
        <v>0</v>
      </c>
      <c r="M94" s="32">
        <v>0</v>
      </c>
      <c r="N94" s="32">
        <v>0</v>
      </c>
      <c r="O94" s="32"/>
      <c r="P94" s="32"/>
      <c r="Q94" s="32"/>
      <c r="R94" s="32"/>
      <c r="S94" s="84"/>
      <c r="T94" s="84"/>
      <c r="U94" s="84"/>
      <c r="V94" s="84"/>
      <c r="W94" s="84"/>
      <c r="X94" s="84"/>
      <c r="Y94" s="84"/>
      <c r="Z94" s="84"/>
      <c r="AA94" s="86"/>
    </row>
    <row r="95" spans="2:27" hidden="1" x14ac:dyDescent="0.25">
      <c r="B95" s="30" t="s">
        <v>609</v>
      </c>
      <c r="C95" s="30">
        <f t="shared" si="1"/>
        <v>92</v>
      </c>
      <c r="D95" s="29" t="s">
        <v>49</v>
      </c>
      <c r="E95" s="29" t="s">
        <v>315</v>
      </c>
      <c r="F95" s="29" t="s">
        <v>347</v>
      </c>
      <c r="G95" s="30" t="s">
        <v>107</v>
      </c>
      <c r="H95" s="33">
        <v>4205905</v>
      </c>
      <c r="I95" s="31" t="s">
        <v>150</v>
      </c>
      <c r="J95" s="31" t="s">
        <v>270</v>
      </c>
      <c r="K95" s="31">
        <v>94192456</v>
      </c>
      <c r="L95" s="32">
        <v>0</v>
      </c>
      <c r="M95" s="32">
        <v>0</v>
      </c>
      <c r="N95" s="32">
        <v>0</v>
      </c>
      <c r="O95" s="32"/>
      <c r="P95" s="32"/>
      <c r="Q95" s="32"/>
      <c r="R95" s="32"/>
      <c r="S95" s="84"/>
      <c r="T95" s="84"/>
      <c r="U95" s="84"/>
      <c r="V95" s="84"/>
      <c r="W95" s="84"/>
      <c r="X95" s="84"/>
      <c r="Y95" s="84"/>
      <c r="Z95" s="84"/>
      <c r="AA95" s="86"/>
    </row>
    <row r="96" spans="2:27" x14ac:dyDescent="0.25">
      <c r="B96" s="45" t="s">
        <v>608</v>
      </c>
      <c r="C96" s="45">
        <f t="shared" si="1"/>
        <v>93</v>
      </c>
      <c r="D96" s="44" t="s">
        <v>49</v>
      </c>
      <c r="E96" s="44" t="s">
        <v>315</v>
      </c>
      <c r="F96" s="44" t="s">
        <v>347</v>
      </c>
      <c r="G96" s="45" t="s">
        <v>109</v>
      </c>
      <c r="H96" s="47">
        <v>5579626</v>
      </c>
      <c r="I96" s="48" t="s">
        <v>150</v>
      </c>
      <c r="J96" s="48" t="s">
        <v>268</v>
      </c>
      <c r="K96" s="48">
        <v>9850773</v>
      </c>
      <c r="L96" s="49">
        <v>0</v>
      </c>
      <c r="M96" s="49">
        <v>2</v>
      </c>
      <c r="N96" s="49">
        <v>6</v>
      </c>
      <c r="O96" s="49">
        <v>3</v>
      </c>
      <c r="P96" s="49">
        <v>0</v>
      </c>
      <c r="Q96" s="49">
        <v>3</v>
      </c>
      <c r="R96" s="49">
        <v>0</v>
      </c>
      <c r="S96" s="92">
        <v>8</v>
      </c>
      <c r="T96" s="92">
        <v>5</v>
      </c>
      <c r="U96" s="92">
        <v>5</v>
      </c>
      <c r="V96" s="92">
        <v>0</v>
      </c>
      <c r="W96" s="92">
        <v>6</v>
      </c>
      <c r="X96" s="92">
        <v>5</v>
      </c>
      <c r="Y96" s="123">
        <v>0</v>
      </c>
      <c r="Z96" s="123"/>
      <c r="AA96" s="85"/>
    </row>
    <row r="97" spans="2:27" hidden="1" x14ac:dyDescent="0.25">
      <c r="B97" s="30" t="s">
        <v>609</v>
      </c>
      <c r="C97" s="30">
        <f t="shared" si="1"/>
        <v>94</v>
      </c>
      <c r="D97" s="29" t="s">
        <v>49</v>
      </c>
      <c r="E97" s="29" t="s">
        <v>315</v>
      </c>
      <c r="F97" s="29" t="s">
        <v>347</v>
      </c>
      <c r="G97" s="30" t="s">
        <v>110</v>
      </c>
      <c r="H97" s="33">
        <v>3207002704</v>
      </c>
      <c r="I97" s="31" t="s">
        <v>150</v>
      </c>
      <c r="J97" s="31" t="s">
        <v>300</v>
      </c>
      <c r="K97" s="31">
        <v>16712936</v>
      </c>
      <c r="L97" s="32">
        <v>0</v>
      </c>
      <c r="M97" s="32">
        <v>0</v>
      </c>
      <c r="N97" s="32">
        <v>0</v>
      </c>
      <c r="O97" s="32"/>
      <c r="P97" s="32"/>
      <c r="Q97" s="32"/>
      <c r="R97" s="32"/>
      <c r="S97" s="84"/>
      <c r="T97" s="84"/>
      <c r="U97" s="84"/>
      <c r="V97" s="84"/>
      <c r="W97" s="84"/>
      <c r="X97" s="84"/>
      <c r="Y97" s="84"/>
      <c r="Z97" s="84"/>
      <c r="AA97" s="86"/>
    </row>
    <row r="98" spans="2:27" x14ac:dyDescent="0.25">
      <c r="B98" s="89" t="s">
        <v>608</v>
      </c>
      <c r="C98" s="89">
        <f t="shared" si="1"/>
        <v>95</v>
      </c>
      <c r="D98" s="88" t="s">
        <v>49</v>
      </c>
      <c r="E98" s="88" t="s">
        <v>315</v>
      </c>
      <c r="F98" s="88" t="s">
        <v>347</v>
      </c>
      <c r="G98" s="89" t="s">
        <v>111</v>
      </c>
      <c r="H98" s="90">
        <v>5582197</v>
      </c>
      <c r="I98" s="122" t="s">
        <v>150</v>
      </c>
      <c r="J98" s="122" t="s">
        <v>267</v>
      </c>
      <c r="K98" s="122">
        <v>98391364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123"/>
      <c r="R98" s="123"/>
      <c r="S98" s="92"/>
      <c r="T98" s="92">
        <v>3</v>
      </c>
      <c r="U98" s="92">
        <v>3</v>
      </c>
      <c r="V98" s="92">
        <v>2</v>
      </c>
      <c r="W98" s="92">
        <v>12</v>
      </c>
      <c r="X98" s="92">
        <v>3</v>
      </c>
      <c r="Y98" s="123">
        <v>0</v>
      </c>
      <c r="Z98" s="123"/>
      <c r="AA98" s="85"/>
    </row>
    <row r="99" spans="2:27" hidden="1" x14ac:dyDescent="0.25">
      <c r="B99" s="82" t="s">
        <v>609</v>
      </c>
      <c r="C99" s="82">
        <f t="shared" si="1"/>
        <v>96</v>
      </c>
      <c r="D99" s="81" t="s">
        <v>117</v>
      </c>
      <c r="E99" s="81" t="s">
        <v>308</v>
      </c>
      <c r="F99" s="81" t="s">
        <v>314</v>
      </c>
      <c r="G99" s="82" t="s">
        <v>118</v>
      </c>
      <c r="H99" s="87">
        <v>3108461826</v>
      </c>
      <c r="I99" s="83" t="s">
        <v>239</v>
      </c>
      <c r="J99" s="83" t="s">
        <v>119</v>
      </c>
      <c r="K99" s="83"/>
      <c r="L99" s="84"/>
      <c r="M99" s="84">
        <v>30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6"/>
    </row>
    <row r="100" spans="2:27" hidden="1" x14ac:dyDescent="0.25">
      <c r="B100" s="82" t="s">
        <v>609</v>
      </c>
      <c r="C100" s="82">
        <f t="shared" si="1"/>
        <v>97</v>
      </c>
      <c r="D100" s="81" t="s">
        <v>117</v>
      </c>
      <c r="E100" s="81" t="s">
        <v>308</v>
      </c>
      <c r="F100" s="81" t="s">
        <v>314</v>
      </c>
      <c r="G100" s="82" t="s">
        <v>120</v>
      </c>
      <c r="H100" s="87">
        <v>3207178634</v>
      </c>
      <c r="I100" s="83" t="s">
        <v>239</v>
      </c>
      <c r="J100" s="83" t="s">
        <v>121</v>
      </c>
      <c r="K100" s="83"/>
      <c r="L100" s="84"/>
      <c r="M100" s="84">
        <v>18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6"/>
    </row>
    <row r="101" spans="2:27" hidden="1" x14ac:dyDescent="0.25">
      <c r="B101" s="82" t="s">
        <v>609</v>
      </c>
      <c r="C101" s="82">
        <f t="shared" si="1"/>
        <v>98</v>
      </c>
      <c r="D101" s="81" t="s">
        <v>122</v>
      </c>
      <c r="E101" s="81" t="s">
        <v>308</v>
      </c>
      <c r="F101" s="81" t="s">
        <v>314</v>
      </c>
      <c r="G101" s="82" t="s">
        <v>123</v>
      </c>
      <c r="H101" s="87">
        <v>3108461821</v>
      </c>
      <c r="I101" s="83" t="s">
        <v>239</v>
      </c>
      <c r="J101" s="83" t="s">
        <v>124</v>
      </c>
      <c r="K101" s="83"/>
      <c r="L101" s="84"/>
      <c r="M101" s="84">
        <v>24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6"/>
    </row>
    <row r="102" spans="2:27" hidden="1" x14ac:dyDescent="0.25">
      <c r="B102" s="82" t="s">
        <v>609</v>
      </c>
      <c r="C102" s="82">
        <f t="shared" si="1"/>
        <v>99</v>
      </c>
      <c r="D102" s="81" t="s">
        <v>122</v>
      </c>
      <c r="E102" s="81" t="s">
        <v>308</v>
      </c>
      <c r="F102" s="81" t="s">
        <v>314</v>
      </c>
      <c r="G102" s="82" t="s">
        <v>125</v>
      </c>
      <c r="H102" s="87">
        <v>3108497538</v>
      </c>
      <c r="I102" s="83" t="s">
        <v>239</v>
      </c>
      <c r="J102" s="83" t="s">
        <v>126</v>
      </c>
      <c r="K102" s="83"/>
      <c r="L102" s="84"/>
      <c r="M102" s="84">
        <v>24</v>
      </c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6"/>
    </row>
    <row r="103" spans="2:27" hidden="1" x14ac:dyDescent="0.25">
      <c r="B103" s="82" t="s">
        <v>609</v>
      </c>
      <c r="C103" s="82">
        <f t="shared" si="1"/>
        <v>100</v>
      </c>
      <c r="D103" s="81" t="s">
        <v>6</v>
      </c>
      <c r="E103" s="81" t="s">
        <v>308</v>
      </c>
      <c r="F103" s="81" t="s">
        <v>314</v>
      </c>
      <c r="G103" s="82" t="s">
        <v>127</v>
      </c>
      <c r="H103" s="87">
        <v>3202545256</v>
      </c>
      <c r="I103" s="83" t="s">
        <v>239</v>
      </c>
      <c r="J103" s="83" t="s">
        <v>128</v>
      </c>
      <c r="K103" s="83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6"/>
    </row>
    <row r="104" spans="2:27" hidden="1" x14ac:dyDescent="0.25">
      <c r="B104" s="82" t="s">
        <v>609</v>
      </c>
      <c r="C104" s="82">
        <f t="shared" si="1"/>
        <v>101</v>
      </c>
      <c r="D104" s="81" t="s">
        <v>129</v>
      </c>
      <c r="E104" s="81" t="s">
        <v>308</v>
      </c>
      <c r="F104" s="81" t="s">
        <v>310</v>
      </c>
      <c r="G104" s="82" t="s">
        <v>9</v>
      </c>
      <c r="H104" s="87">
        <v>3113580948</v>
      </c>
      <c r="I104" s="83" t="s">
        <v>239</v>
      </c>
      <c r="J104" s="83" t="s">
        <v>130</v>
      </c>
      <c r="K104" s="83"/>
      <c r="L104" s="84"/>
      <c r="M104" s="84">
        <v>24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6"/>
    </row>
    <row r="105" spans="2:27" hidden="1" x14ac:dyDescent="0.25">
      <c r="B105" s="82" t="s">
        <v>609</v>
      </c>
      <c r="C105" s="82">
        <f t="shared" si="1"/>
        <v>102</v>
      </c>
      <c r="D105" s="81" t="s">
        <v>131</v>
      </c>
      <c r="E105" s="81" t="s">
        <v>308</v>
      </c>
      <c r="F105" s="81" t="s">
        <v>632</v>
      </c>
      <c r="G105" s="82" t="s">
        <v>9</v>
      </c>
      <c r="H105" s="87">
        <v>3207162674</v>
      </c>
      <c r="I105" s="83" t="s">
        <v>239</v>
      </c>
      <c r="J105" s="83" t="s">
        <v>132</v>
      </c>
      <c r="K105" s="83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6"/>
    </row>
    <row r="106" spans="2:27" hidden="1" x14ac:dyDescent="0.25">
      <c r="B106" s="82" t="s">
        <v>609</v>
      </c>
      <c r="C106" s="82">
        <f t="shared" si="1"/>
        <v>103</v>
      </c>
      <c r="D106" s="81" t="s">
        <v>133</v>
      </c>
      <c r="E106" s="81" t="s">
        <v>308</v>
      </c>
      <c r="F106" s="81" t="s">
        <v>632</v>
      </c>
      <c r="G106" s="82" t="s">
        <v>9</v>
      </c>
      <c r="H106" s="87">
        <v>3136709023</v>
      </c>
      <c r="I106" s="83" t="s">
        <v>239</v>
      </c>
      <c r="J106" s="83" t="s">
        <v>134</v>
      </c>
      <c r="K106" s="83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6"/>
    </row>
    <row r="107" spans="2:27" hidden="1" x14ac:dyDescent="0.25">
      <c r="B107" s="82" t="s">
        <v>609</v>
      </c>
      <c r="C107" s="82">
        <f t="shared" si="1"/>
        <v>104</v>
      </c>
      <c r="D107" s="81" t="s">
        <v>135</v>
      </c>
      <c r="E107" s="81" t="s">
        <v>308</v>
      </c>
      <c r="F107" s="81" t="s">
        <v>632</v>
      </c>
      <c r="G107" s="82" t="s">
        <v>9</v>
      </c>
      <c r="H107" s="87">
        <v>3206931192</v>
      </c>
      <c r="I107" s="83" t="s">
        <v>239</v>
      </c>
      <c r="J107" s="83" t="s">
        <v>136</v>
      </c>
      <c r="K107" s="83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6"/>
    </row>
    <row r="108" spans="2:27" hidden="1" x14ac:dyDescent="0.25">
      <c r="B108" s="82" t="s">
        <v>609</v>
      </c>
      <c r="C108" s="82">
        <f t="shared" si="1"/>
        <v>105</v>
      </c>
      <c r="D108" s="81" t="s">
        <v>137</v>
      </c>
      <c r="E108" s="81" t="s">
        <v>308</v>
      </c>
      <c r="F108" s="81" t="s">
        <v>632</v>
      </c>
      <c r="G108" s="82" t="s">
        <v>9</v>
      </c>
      <c r="H108" s="87">
        <v>3217007997</v>
      </c>
      <c r="I108" s="83" t="s">
        <v>239</v>
      </c>
      <c r="J108" s="83" t="s">
        <v>138</v>
      </c>
      <c r="K108" s="83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6"/>
    </row>
    <row r="109" spans="2:27" hidden="1" x14ac:dyDescent="0.25">
      <c r="B109" s="82" t="s">
        <v>609</v>
      </c>
      <c r="C109" s="82">
        <f t="shared" si="1"/>
        <v>106</v>
      </c>
      <c r="D109" s="81" t="s">
        <v>139</v>
      </c>
      <c r="E109" s="81" t="s">
        <v>308</v>
      </c>
      <c r="F109" s="81" t="s">
        <v>632</v>
      </c>
      <c r="G109" s="82" t="s">
        <v>9</v>
      </c>
      <c r="H109" s="87">
        <v>3216249142</v>
      </c>
      <c r="I109" s="83" t="s">
        <v>239</v>
      </c>
      <c r="J109" s="83" t="s">
        <v>140</v>
      </c>
      <c r="K109" s="83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6"/>
    </row>
    <row r="110" spans="2:27" hidden="1" x14ac:dyDescent="0.25">
      <c r="B110" s="82" t="s">
        <v>609</v>
      </c>
      <c r="C110" s="82">
        <f t="shared" si="1"/>
        <v>107</v>
      </c>
      <c r="D110" s="81" t="s">
        <v>49</v>
      </c>
      <c r="E110" s="81" t="s">
        <v>308</v>
      </c>
      <c r="F110" s="81" t="s">
        <v>632</v>
      </c>
      <c r="G110" s="82" t="s">
        <v>141</v>
      </c>
      <c r="H110" s="87">
        <v>3176365583</v>
      </c>
      <c r="I110" s="83" t="s">
        <v>239</v>
      </c>
      <c r="J110" s="83" t="s">
        <v>142</v>
      </c>
      <c r="K110" s="83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6"/>
    </row>
    <row r="111" spans="2:27" hidden="1" x14ac:dyDescent="0.25">
      <c r="B111" s="82" t="s">
        <v>609</v>
      </c>
      <c r="C111" s="82">
        <f t="shared" si="1"/>
        <v>108</v>
      </c>
      <c r="D111" s="81" t="s">
        <v>49</v>
      </c>
      <c r="E111" s="81" t="s">
        <v>308</v>
      </c>
      <c r="F111" s="81" t="s">
        <v>632</v>
      </c>
      <c r="G111" s="82" t="s">
        <v>143</v>
      </c>
      <c r="H111" s="87">
        <v>3184153685</v>
      </c>
      <c r="I111" s="83" t="s">
        <v>239</v>
      </c>
      <c r="J111" s="83" t="s">
        <v>144</v>
      </c>
      <c r="K111" s="83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6"/>
    </row>
    <row r="112" spans="2:27" hidden="1" x14ac:dyDescent="0.25">
      <c r="B112" s="82" t="s">
        <v>609</v>
      </c>
      <c r="C112" s="82">
        <f t="shared" si="1"/>
        <v>109</v>
      </c>
      <c r="D112" s="81" t="s">
        <v>49</v>
      </c>
      <c r="E112" s="81" t="s">
        <v>308</v>
      </c>
      <c r="F112" s="81" t="s">
        <v>632</v>
      </c>
      <c r="G112" s="82" t="s">
        <v>145</v>
      </c>
      <c r="H112" s="87">
        <v>3174284930</v>
      </c>
      <c r="I112" s="83" t="s">
        <v>239</v>
      </c>
      <c r="J112" s="83" t="s">
        <v>146</v>
      </c>
      <c r="K112" s="83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6"/>
    </row>
    <row r="113" spans="2:27" hidden="1" x14ac:dyDescent="0.25">
      <c r="B113" s="82" t="s">
        <v>609</v>
      </c>
      <c r="C113" s="82">
        <f t="shared" si="1"/>
        <v>110</v>
      </c>
      <c r="D113" s="81" t="s">
        <v>49</v>
      </c>
      <c r="E113" s="81" t="s">
        <v>308</v>
      </c>
      <c r="F113" s="81" t="s">
        <v>632</v>
      </c>
      <c r="G113" s="82" t="s">
        <v>147</v>
      </c>
      <c r="H113" s="87">
        <v>3172930374</v>
      </c>
      <c r="I113" s="83"/>
      <c r="J113" s="83" t="s">
        <v>148</v>
      </c>
      <c r="K113" s="83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6"/>
    </row>
    <row r="114" spans="2:27" x14ac:dyDescent="0.25">
      <c r="B114" s="45" t="s">
        <v>608</v>
      </c>
      <c r="C114" s="45">
        <f t="shared" si="1"/>
        <v>111</v>
      </c>
      <c r="D114" s="44" t="s">
        <v>174</v>
      </c>
      <c r="E114" s="44" t="s">
        <v>313</v>
      </c>
      <c r="F114" s="44" t="s">
        <v>317</v>
      </c>
      <c r="G114" s="45" t="s">
        <v>372</v>
      </c>
      <c r="H114" s="47">
        <v>2133333</v>
      </c>
      <c r="I114" s="48"/>
      <c r="J114" s="48" t="s">
        <v>178</v>
      </c>
      <c r="K114" s="48"/>
      <c r="L114" s="49">
        <v>36</v>
      </c>
      <c r="M114" s="49">
        <v>38</v>
      </c>
      <c r="N114" s="49">
        <v>20</v>
      </c>
      <c r="O114" s="49">
        <v>30</v>
      </c>
      <c r="P114" s="49">
        <v>46</v>
      </c>
      <c r="Q114" s="49">
        <v>66</v>
      </c>
      <c r="R114" s="49">
        <v>60</v>
      </c>
      <c r="S114" s="92">
        <v>96</v>
      </c>
      <c r="T114" s="92">
        <v>136</v>
      </c>
      <c r="U114" s="92">
        <v>100</v>
      </c>
      <c r="V114" s="92">
        <v>90</v>
      </c>
      <c r="W114" s="92">
        <v>90</v>
      </c>
      <c r="X114" s="92">
        <v>100</v>
      </c>
      <c r="Y114" s="123">
        <v>100</v>
      </c>
      <c r="Z114" s="123"/>
      <c r="AA114" s="85"/>
    </row>
    <row r="115" spans="2:27" x14ac:dyDescent="0.25">
      <c r="B115" s="45" t="s">
        <v>608</v>
      </c>
      <c r="C115" s="45">
        <f t="shared" si="1"/>
        <v>112</v>
      </c>
      <c r="D115" s="44" t="s">
        <v>179</v>
      </c>
      <c r="E115" s="44" t="s">
        <v>313</v>
      </c>
      <c r="F115" s="44" t="s">
        <v>317</v>
      </c>
      <c r="G115" s="45" t="s">
        <v>180</v>
      </c>
      <c r="H115" s="47">
        <v>3152228870</v>
      </c>
      <c r="I115" s="48" t="s">
        <v>150</v>
      </c>
      <c r="J115" s="48" t="s">
        <v>181</v>
      </c>
      <c r="K115" s="48"/>
      <c r="L115" s="49">
        <v>50</v>
      </c>
      <c r="M115" s="49">
        <v>60</v>
      </c>
      <c r="N115" s="49">
        <v>10</v>
      </c>
      <c r="O115" s="49">
        <v>50</v>
      </c>
      <c r="P115" s="49">
        <v>66</v>
      </c>
      <c r="Q115" s="49">
        <v>75</v>
      </c>
      <c r="R115" s="49">
        <v>66</v>
      </c>
      <c r="S115" s="92">
        <v>120</v>
      </c>
      <c r="T115" s="92">
        <v>200</v>
      </c>
      <c r="U115" s="92">
        <v>120</v>
      </c>
      <c r="V115" s="92">
        <v>120</v>
      </c>
      <c r="W115" s="92">
        <v>110</v>
      </c>
      <c r="X115" s="92">
        <v>36</v>
      </c>
      <c r="Y115" s="123">
        <v>50</v>
      </c>
      <c r="Z115" s="123"/>
      <c r="AA115" s="85"/>
    </row>
    <row r="116" spans="2:27" x14ac:dyDescent="0.25">
      <c r="B116" s="45" t="s">
        <v>608</v>
      </c>
      <c r="C116" s="45">
        <f t="shared" si="1"/>
        <v>113</v>
      </c>
      <c r="D116" s="44" t="s">
        <v>174</v>
      </c>
      <c r="E116" s="44" t="s">
        <v>313</v>
      </c>
      <c r="F116" s="44" t="s">
        <v>317</v>
      </c>
      <c r="G116" s="45" t="s">
        <v>182</v>
      </c>
      <c r="H116" s="47">
        <v>2125411</v>
      </c>
      <c r="I116" s="48" t="s">
        <v>150</v>
      </c>
      <c r="J116" s="48" t="s">
        <v>183</v>
      </c>
      <c r="K116" s="48"/>
      <c r="L116" s="49">
        <v>120</v>
      </c>
      <c r="M116" s="49">
        <v>90</v>
      </c>
      <c r="N116" s="49">
        <v>60</v>
      </c>
      <c r="O116" s="49">
        <v>75</v>
      </c>
      <c r="P116" s="49">
        <v>80</v>
      </c>
      <c r="Q116" s="49">
        <v>90</v>
      </c>
      <c r="R116" s="49">
        <v>86</v>
      </c>
      <c r="S116" s="92">
        <v>120</v>
      </c>
      <c r="T116" s="92">
        <v>200</v>
      </c>
      <c r="U116" s="92">
        <v>115</v>
      </c>
      <c r="V116" s="92">
        <v>120</v>
      </c>
      <c r="W116" s="92">
        <v>120</v>
      </c>
      <c r="X116" s="92">
        <v>100</v>
      </c>
      <c r="Y116" s="123">
        <v>90</v>
      </c>
      <c r="Z116" s="123"/>
      <c r="AA116" s="85"/>
    </row>
    <row r="117" spans="2:27" x14ac:dyDescent="0.25">
      <c r="B117" s="45" t="s">
        <v>608</v>
      </c>
      <c r="C117" s="45">
        <f t="shared" si="1"/>
        <v>114</v>
      </c>
      <c r="D117" s="44" t="s">
        <v>2</v>
      </c>
      <c r="E117" s="44" t="s">
        <v>309</v>
      </c>
      <c r="F117" s="44" t="s">
        <v>317</v>
      </c>
      <c r="G117" s="45" t="s">
        <v>184</v>
      </c>
      <c r="H117" s="47">
        <v>2292935</v>
      </c>
      <c r="I117" s="48" t="s">
        <v>150</v>
      </c>
      <c r="J117" s="48" t="s">
        <v>185</v>
      </c>
      <c r="K117" s="48"/>
      <c r="L117" s="49">
        <v>36</v>
      </c>
      <c r="M117" s="49">
        <v>40</v>
      </c>
      <c r="N117" s="49">
        <v>45</v>
      </c>
      <c r="O117" s="49">
        <v>36</v>
      </c>
      <c r="P117" s="49">
        <v>48</v>
      </c>
      <c r="Q117" s="49">
        <v>60</v>
      </c>
      <c r="R117" s="49">
        <v>70</v>
      </c>
      <c r="S117" s="92">
        <v>92</v>
      </c>
      <c r="T117" s="92">
        <v>145</v>
      </c>
      <c r="U117" s="92">
        <v>100</v>
      </c>
      <c r="V117" s="92">
        <v>96</v>
      </c>
      <c r="W117" s="92">
        <v>90</v>
      </c>
      <c r="X117" s="92">
        <v>80</v>
      </c>
      <c r="Y117" s="123">
        <v>80</v>
      </c>
      <c r="Z117" s="123"/>
      <c r="AA117" s="85"/>
    </row>
    <row r="118" spans="2:27" x14ac:dyDescent="0.25">
      <c r="B118" s="45" t="s">
        <v>608</v>
      </c>
      <c r="C118" s="45">
        <f t="shared" si="1"/>
        <v>115</v>
      </c>
      <c r="D118" s="44" t="s">
        <v>186</v>
      </c>
      <c r="E118" s="44" t="s">
        <v>313</v>
      </c>
      <c r="F118" s="44" t="s">
        <v>317</v>
      </c>
      <c r="G118" s="45" t="s">
        <v>187</v>
      </c>
      <c r="H118" s="47">
        <v>2297172</v>
      </c>
      <c r="I118" s="48" t="s">
        <v>172</v>
      </c>
      <c r="J118" s="48" t="s">
        <v>188</v>
      </c>
      <c r="K118" s="48"/>
      <c r="L118" s="49">
        <v>24</v>
      </c>
      <c r="M118" s="49">
        <v>35</v>
      </c>
      <c r="N118" s="49">
        <v>36</v>
      </c>
      <c r="O118" s="49">
        <v>24</v>
      </c>
      <c r="P118" s="49">
        <v>60</v>
      </c>
      <c r="Q118" s="49">
        <v>84</v>
      </c>
      <c r="R118" s="49">
        <v>68</v>
      </c>
      <c r="S118" s="92">
        <v>136</v>
      </c>
      <c r="T118" s="92">
        <v>180</v>
      </c>
      <c r="U118" s="92">
        <v>110</v>
      </c>
      <c r="V118" s="92">
        <v>120</v>
      </c>
      <c r="W118" s="92">
        <v>120</v>
      </c>
      <c r="X118" s="92">
        <v>120</v>
      </c>
      <c r="Y118" s="123">
        <v>100</v>
      </c>
      <c r="Z118" s="123"/>
      <c r="AA118" s="85"/>
    </row>
    <row r="119" spans="2:27" x14ac:dyDescent="0.25">
      <c r="B119" s="89" t="s">
        <v>608</v>
      </c>
      <c r="C119" s="89">
        <f t="shared" si="1"/>
        <v>116</v>
      </c>
      <c r="D119" s="88" t="s">
        <v>174</v>
      </c>
      <c r="E119" s="88" t="s">
        <v>313</v>
      </c>
      <c r="F119" s="88" t="s">
        <v>317</v>
      </c>
      <c r="G119" s="89" t="s">
        <v>189</v>
      </c>
      <c r="H119" s="90">
        <v>2139099</v>
      </c>
      <c r="I119" s="91" t="s">
        <v>172</v>
      </c>
      <c r="J119" s="91" t="s">
        <v>190</v>
      </c>
      <c r="K119" s="91"/>
      <c r="L119" s="92">
        <v>60</v>
      </c>
      <c r="M119" s="92">
        <v>80</v>
      </c>
      <c r="N119" s="92">
        <v>300</v>
      </c>
      <c r="O119" s="92">
        <v>250</v>
      </c>
      <c r="P119" s="92">
        <v>300</v>
      </c>
      <c r="Q119" s="92">
        <v>400</v>
      </c>
      <c r="R119" s="92">
        <v>280</v>
      </c>
      <c r="S119" s="92">
        <v>480</v>
      </c>
      <c r="T119" s="92">
        <v>600</v>
      </c>
      <c r="U119" s="92">
        <v>420</v>
      </c>
      <c r="V119" s="92">
        <v>400</v>
      </c>
      <c r="W119" s="92">
        <v>500</v>
      </c>
      <c r="X119" s="92">
        <v>480</v>
      </c>
      <c r="Y119" s="123">
        <v>500</v>
      </c>
      <c r="Z119" s="123"/>
      <c r="AA119" s="85"/>
    </row>
    <row r="120" spans="2:27" hidden="1" x14ac:dyDescent="0.25">
      <c r="B120" s="113" t="s">
        <v>609</v>
      </c>
      <c r="C120" s="113">
        <f t="shared" si="1"/>
        <v>117</v>
      </c>
      <c r="D120" s="114" t="s">
        <v>191</v>
      </c>
      <c r="E120" s="114" t="s">
        <v>309</v>
      </c>
      <c r="F120" s="114" t="s">
        <v>317</v>
      </c>
      <c r="G120" s="113" t="s">
        <v>192</v>
      </c>
      <c r="H120" s="115">
        <v>3113183498</v>
      </c>
      <c r="I120" s="83" t="s">
        <v>150</v>
      </c>
      <c r="J120" s="83" t="s">
        <v>193</v>
      </c>
      <c r="K120" s="83"/>
      <c r="L120" s="84">
        <v>10</v>
      </c>
      <c r="M120" s="84">
        <v>18</v>
      </c>
      <c r="N120" s="84">
        <v>20</v>
      </c>
      <c r="O120" s="84">
        <v>10</v>
      </c>
      <c r="P120" s="84">
        <v>12</v>
      </c>
      <c r="Q120" s="84">
        <v>20</v>
      </c>
      <c r="R120" s="84">
        <v>3</v>
      </c>
      <c r="S120" s="116"/>
      <c r="T120" s="116"/>
      <c r="U120" s="116"/>
      <c r="V120" s="116"/>
      <c r="W120" s="116"/>
      <c r="X120" s="116"/>
      <c r="Y120" s="116"/>
      <c r="Z120" s="116"/>
      <c r="AA120" s="117"/>
    </row>
    <row r="121" spans="2:27" x14ac:dyDescent="0.25">
      <c r="B121" s="45" t="s">
        <v>608</v>
      </c>
      <c r="C121" s="45">
        <f t="shared" si="1"/>
        <v>118</v>
      </c>
      <c r="D121" s="44" t="s">
        <v>174</v>
      </c>
      <c r="E121" s="44" t="s">
        <v>313</v>
      </c>
      <c r="F121" s="44" t="s">
        <v>317</v>
      </c>
      <c r="G121" s="45" t="s">
        <v>194</v>
      </c>
      <c r="H121" s="47">
        <v>3175131166</v>
      </c>
      <c r="I121" s="48" t="s">
        <v>150</v>
      </c>
      <c r="J121" s="48" t="s">
        <v>195</v>
      </c>
      <c r="K121" s="48"/>
      <c r="L121" s="49">
        <v>120</v>
      </c>
      <c r="M121" s="49">
        <v>120</v>
      </c>
      <c r="N121" s="49">
        <v>80</v>
      </c>
      <c r="O121" s="49">
        <v>60</v>
      </c>
      <c r="P121" s="49">
        <v>90</v>
      </c>
      <c r="Q121" s="49">
        <v>100</v>
      </c>
      <c r="R121" s="49">
        <v>75</v>
      </c>
      <c r="S121" s="92">
        <v>90</v>
      </c>
      <c r="T121" s="92">
        <v>120</v>
      </c>
      <c r="U121" s="92">
        <v>120</v>
      </c>
      <c r="V121" s="92">
        <v>120</v>
      </c>
      <c r="W121" s="92">
        <v>120</v>
      </c>
      <c r="X121" s="92">
        <v>135</v>
      </c>
      <c r="Y121" s="123">
        <v>120</v>
      </c>
      <c r="Z121" s="123"/>
      <c r="AA121" s="85"/>
    </row>
    <row r="122" spans="2:27" x14ac:dyDescent="0.25">
      <c r="B122" s="45" t="s">
        <v>608</v>
      </c>
      <c r="C122" s="45">
        <f t="shared" si="1"/>
        <v>119</v>
      </c>
      <c r="D122" s="44" t="s">
        <v>212</v>
      </c>
      <c r="E122" s="44" t="s">
        <v>313</v>
      </c>
      <c r="F122" s="44" t="s">
        <v>310</v>
      </c>
      <c r="G122" s="45" t="s">
        <v>213</v>
      </c>
      <c r="H122" s="40" t="s">
        <v>369</v>
      </c>
      <c r="I122" s="48" t="s">
        <v>172</v>
      </c>
      <c r="J122" s="48" t="s">
        <v>214</v>
      </c>
      <c r="K122" s="48"/>
      <c r="L122" s="49">
        <f>15*12</f>
        <v>180</v>
      </c>
      <c r="M122" s="49">
        <v>204</v>
      </c>
      <c r="N122" s="49">
        <v>300</v>
      </c>
      <c r="O122" s="49">
        <v>600</v>
      </c>
      <c r="P122" s="49">
        <v>720</v>
      </c>
      <c r="Q122" s="49">
        <v>960</v>
      </c>
      <c r="R122" s="49">
        <v>1200</v>
      </c>
      <c r="S122" s="92">
        <v>1800</v>
      </c>
      <c r="T122" s="92">
        <v>3000</v>
      </c>
      <c r="U122" s="92">
        <v>2400</v>
      </c>
      <c r="V122" s="92">
        <v>3000</v>
      </c>
      <c r="W122" s="92">
        <v>2400</v>
      </c>
      <c r="X122" s="92">
        <v>1200</v>
      </c>
      <c r="Y122" s="123">
        <v>3600</v>
      </c>
      <c r="Z122" s="123"/>
      <c r="AA122" s="85"/>
    </row>
    <row r="123" spans="2:27" x14ac:dyDescent="0.25">
      <c r="B123" s="45" t="s">
        <v>608</v>
      </c>
      <c r="C123" s="45">
        <f t="shared" si="1"/>
        <v>120</v>
      </c>
      <c r="D123" s="44" t="s">
        <v>215</v>
      </c>
      <c r="E123" s="44" t="s">
        <v>313</v>
      </c>
      <c r="F123" s="44" t="s">
        <v>310</v>
      </c>
      <c r="G123" s="45" t="s">
        <v>216</v>
      </c>
      <c r="H123" s="40" t="s">
        <v>370</v>
      </c>
      <c r="I123" s="48" t="s">
        <v>150</v>
      </c>
      <c r="J123" s="48" t="s">
        <v>217</v>
      </c>
      <c r="K123" s="48"/>
      <c r="L123" s="49">
        <f>6*12</f>
        <v>72</v>
      </c>
      <c r="M123" s="49">
        <v>84</v>
      </c>
      <c r="N123" s="49">
        <v>80</v>
      </c>
      <c r="O123" s="49">
        <v>144</v>
      </c>
      <c r="P123" s="49">
        <v>240</v>
      </c>
      <c r="Q123" s="49">
        <v>300</v>
      </c>
      <c r="R123" s="49">
        <v>300</v>
      </c>
      <c r="S123" s="92">
        <v>360</v>
      </c>
      <c r="T123" s="92">
        <v>540</v>
      </c>
      <c r="U123" s="92">
        <v>360</v>
      </c>
      <c r="V123" s="92">
        <v>360</v>
      </c>
      <c r="W123" s="92">
        <v>300</v>
      </c>
      <c r="X123" s="92">
        <v>180</v>
      </c>
      <c r="Y123" s="123">
        <v>300</v>
      </c>
      <c r="Z123" s="123"/>
      <c r="AA123" s="85"/>
    </row>
    <row r="124" spans="2:27" x14ac:dyDescent="0.25">
      <c r="B124" s="45" t="s">
        <v>608</v>
      </c>
      <c r="C124" s="45">
        <f t="shared" si="1"/>
        <v>121</v>
      </c>
      <c r="D124" s="44" t="s">
        <v>129</v>
      </c>
      <c r="E124" s="44" t="s">
        <v>309</v>
      </c>
      <c r="F124" s="44" t="s">
        <v>310</v>
      </c>
      <c r="G124" s="45" t="s">
        <v>218</v>
      </c>
      <c r="H124" s="47">
        <v>3146620834</v>
      </c>
      <c r="I124" s="48" t="s">
        <v>150</v>
      </c>
      <c r="J124" s="48" t="s">
        <v>219</v>
      </c>
      <c r="K124" s="48"/>
      <c r="L124" s="49">
        <f>4*12</f>
        <v>48</v>
      </c>
      <c r="M124" s="49">
        <v>72</v>
      </c>
      <c r="N124" s="49">
        <v>84</v>
      </c>
      <c r="O124" s="49">
        <v>120</v>
      </c>
      <c r="P124" s="49">
        <v>240</v>
      </c>
      <c r="Q124" s="49">
        <v>240</v>
      </c>
      <c r="R124" s="49">
        <v>300</v>
      </c>
      <c r="S124" s="92">
        <v>300</v>
      </c>
      <c r="T124" s="92">
        <v>420</v>
      </c>
      <c r="U124" s="92">
        <v>300</v>
      </c>
      <c r="V124" s="92">
        <v>420</v>
      </c>
      <c r="W124" s="92">
        <v>360</v>
      </c>
      <c r="X124" s="92">
        <v>120</v>
      </c>
      <c r="Y124" s="123">
        <v>360</v>
      </c>
      <c r="Z124" s="123"/>
      <c r="AA124" s="85"/>
    </row>
    <row r="125" spans="2:27" x14ac:dyDescent="0.25">
      <c r="B125" s="45" t="s">
        <v>608</v>
      </c>
      <c r="C125" s="45">
        <f t="shared" si="1"/>
        <v>122</v>
      </c>
      <c r="D125" s="44" t="s">
        <v>220</v>
      </c>
      <c r="E125" s="44" t="s">
        <v>309</v>
      </c>
      <c r="F125" s="44" t="s">
        <v>310</v>
      </c>
      <c r="G125" s="45" t="s">
        <v>221</v>
      </c>
      <c r="H125" s="40" t="s">
        <v>371</v>
      </c>
      <c r="I125" s="48" t="s">
        <v>150</v>
      </c>
      <c r="J125" s="48" t="s">
        <v>222</v>
      </c>
      <c r="K125" s="48"/>
      <c r="L125" s="49">
        <f>10*12</f>
        <v>120</v>
      </c>
      <c r="M125" s="49">
        <v>156</v>
      </c>
      <c r="N125" s="49">
        <v>156</v>
      </c>
      <c r="O125" s="49">
        <v>480</v>
      </c>
      <c r="P125" s="49">
        <v>600</v>
      </c>
      <c r="Q125" s="49">
        <v>840</v>
      </c>
      <c r="R125" s="49">
        <v>840</v>
      </c>
      <c r="S125" s="92">
        <v>1080</v>
      </c>
      <c r="T125" s="92">
        <v>1320</v>
      </c>
      <c r="U125" s="92">
        <v>600</v>
      </c>
      <c r="V125" s="92">
        <v>420</v>
      </c>
      <c r="W125" s="92">
        <v>840</v>
      </c>
      <c r="X125" s="92">
        <v>300</v>
      </c>
      <c r="Y125" s="123">
        <v>432</v>
      </c>
      <c r="Z125" s="123"/>
      <c r="AA125" s="85"/>
    </row>
    <row r="126" spans="2:27" x14ac:dyDescent="0.25">
      <c r="B126" s="45" t="s">
        <v>608</v>
      </c>
      <c r="C126" s="45">
        <f t="shared" si="1"/>
        <v>123</v>
      </c>
      <c r="D126" s="44" t="s">
        <v>220</v>
      </c>
      <c r="E126" s="44" t="s">
        <v>308</v>
      </c>
      <c r="F126" s="44" t="s">
        <v>310</v>
      </c>
      <c r="G126" s="45" t="s">
        <v>223</v>
      </c>
      <c r="H126" s="47">
        <v>2834030</v>
      </c>
      <c r="I126" s="48" t="s">
        <v>150</v>
      </c>
      <c r="J126" s="48" t="s">
        <v>224</v>
      </c>
      <c r="K126" s="48"/>
      <c r="L126" s="49"/>
      <c r="M126" s="49">
        <v>120</v>
      </c>
      <c r="N126" s="49">
        <v>115</v>
      </c>
      <c r="O126" s="49">
        <v>180</v>
      </c>
      <c r="P126" s="49">
        <v>120</v>
      </c>
      <c r="Q126" s="49">
        <v>300</v>
      </c>
      <c r="R126" s="49">
        <v>420</v>
      </c>
      <c r="S126" s="92">
        <v>600</v>
      </c>
      <c r="T126" s="92">
        <v>720</v>
      </c>
      <c r="U126" s="92">
        <v>480</v>
      </c>
      <c r="V126" s="92">
        <v>300</v>
      </c>
      <c r="W126" s="92">
        <v>360</v>
      </c>
      <c r="X126" s="92">
        <v>96</v>
      </c>
      <c r="Y126" s="123">
        <v>360</v>
      </c>
      <c r="Z126" s="123"/>
      <c r="AA126" s="85"/>
    </row>
    <row r="127" spans="2:27" x14ac:dyDescent="0.25">
      <c r="B127" s="45" t="s">
        <v>608</v>
      </c>
      <c r="C127" s="45">
        <f t="shared" si="1"/>
        <v>124</v>
      </c>
      <c r="D127" s="44" t="s">
        <v>225</v>
      </c>
      <c r="E127" s="44" t="s">
        <v>313</v>
      </c>
      <c r="F127" s="44" t="s">
        <v>310</v>
      </c>
      <c r="G127" s="45" t="s">
        <v>226</v>
      </c>
      <c r="H127" s="47">
        <v>3136518541</v>
      </c>
      <c r="I127" s="48" t="s">
        <v>150</v>
      </c>
      <c r="J127" s="48" t="s">
        <v>227</v>
      </c>
      <c r="K127" s="48"/>
      <c r="L127" s="49">
        <f>8*12</f>
        <v>96</v>
      </c>
      <c r="M127" s="49">
        <v>100</v>
      </c>
      <c r="N127" s="49">
        <v>120</v>
      </c>
      <c r="O127" s="49">
        <v>240</v>
      </c>
      <c r="P127" s="49">
        <v>276</v>
      </c>
      <c r="Q127" s="49">
        <v>240</v>
      </c>
      <c r="R127" s="49">
        <v>240</v>
      </c>
      <c r="S127" s="92">
        <v>360</v>
      </c>
      <c r="T127" s="92">
        <v>540</v>
      </c>
      <c r="U127" s="92">
        <v>360</v>
      </c>
      <c r="V127" s="92">
        <v>360</v>
      </c>
      <c r="W127" s="92">
        <v>300</v>
      </c>
      <c r="X127" s="92">
        <v>144</v>
      </c>
      <c r="Y127" s="123">
        <v>348</v>
      </c>
      <c r="Z127" s="123"/>
      <c r="AA127" s="85"/>
    </row>
    <row r="128" spans="2:27" x14ac:dyDescent="0.25">
      <c r="B128" s="45" t="s">
        <v>608</v>
      </c>
      <c r="C128" s="45">
        <f t="shared" si="1"/>
        <v>125</v>
      </c>
      <c r="D128" s="44" t="s">
        <v>228</v>
      </c>
      <c r="E128" s="44" t="s">
        <v>313</v>
      </c>
      <c r="F128" s="44" t="s">
        <v>310</v>
      </c>
      <c r="G128" s="45" t="s">
        <v>229</v>
      </c>
      <c r="H128" s="47">
        <v>3117666820</v>
      </c>
      <c r="I128" s="48"/>
      <c r="J128" s="48" t="s">
        <v>230</v>
      </c>
      <c r="K128" s="48"/>
      <c r="L128" s="49">
        <v>0</v>
      </c>
      <c r="M128" s="49">
        <v>36</v>
      </c>
      <c r="N128" s="49">
        <v>48</v>
      </c>
      <c r="O128" s="49">
        <v>72</v>
      </c>
      <c r="P128" s="49">
        <v>72</v>
      </c>
      <c r="Q128" s="49">
        <v>120</v>
      </c>
      <c r="R128" s="49">
        <v>180</v>
      </c>
      <c r="S128" s="92">
        <v>180</v>
      </c>
      <c r="T128" s="92">
        <v>240</v>
      </c>
      <c r="U128" s="92">
        <v>180</v>
      </c>
      <c r="V128" s="92">
        <v>180</v>
      </c>
      <c r="W128" s="92">
        <v>240</v>
      </c>
      <c r="X128" s="92">
        <v>72</v>
      </c>
      <c r="Y128" s="123">
        <v>120</v>
      </c>
      <c r="Z128" s="123"/>
      <c r="AA128" s="85"/>
    </row>
    <row r="129" spans="2:27" x14ac:dyDescent="0.25">
      <c r="B129" s="45" t="s">
        <v>608</v>
      </c>
      <c r="C129" s="45">
        <f t="shared" si="1"/>
        <v>126</v>
      </c>
      <c r="D129" s="44" t="s">
        <v>212</v>
      </c>
      <c r="E129" s="44" t="s">
        <v>308</v>
      </c>
      <c r="F129" s="44" t="s">
        <v>310</v>
      </c>
      <c r="G129" s="45" t="s">
        <v>231</v>
      </c>
      <c r="H129" s="47">
        <v>3004377555</v>
      </c>
      <c r="I129" s="48" t="s">
        <v>150</v>
      </c>
      <c r="J129" s="48" t="s">
        <v>232</v>
      </c>
      <c r="K129" s="48"/>
      <c r="L129" s="49"/>
      <c r="M129" s="49">
        <v>36</v>
      </c>
      <c r="N129" s="49">
        <v>70</v>
      </c>
      <c r="O129" s="49">
        <v>156</v>
      </c>
      <c r="P129" s="49">
        <v>24</v>
      </c>
      <c r="Q129" s="49">
        <v>24</v>
      </c>
      <c r="R129" s="49">
        <v>24</v>
      </c>
      <c r="S129" s="92">
        <v>24</v>
      </c>
      <c r="T129" s="92">
        <v>72</v>
      </c>
      <c r="U129" s="92">
        <v>24</v>
      </c>
      <c r="V129" s="92">
        <v>24</v>
      </c>
      <c r="W129" s="92">
        <v>12</v>
      </c>
      <c r="X129" s="92">
        <v>12</v>
      </c>
      <c r="Y129" s="123">
        <v>24</v>
      </c>
      <c r="Z129" s="123"/>
      <c r="AA129" s="85"/>
    </row>
    <row r="130" spans="2:27" x14ac:dyDescent="0.25">
      <c r="B130" s="45" t="s">
        <v>608</v>
      </c>
      <c r="C130" s="45">
        <f t="shared" si="1"/>
        <v>127</v>
      </c>
      <c r="D130" s="44" t="s">
        <v>212</v>
      </c>
      <c r="E130" s="44" t="s">
        <v>308</v>
      </c>
      <c r="F130" s="44" t="s">
        <v>310</v>
      </c>
      <c r="G130" s="45" t="s">
        <v>233</v>
      </c>
      <c r="H130" s="47">
        <v>3113775927</v>
      </c>
      <c r="I130" s="48" t="s">
        <v>150</v>
      </c>
      <c r="J130" s="48" t="s">
        <v>234</v>
      </c>
      <c r="K130" s="48"/>
      <c r="L130" s="49"/>
      <c r="M130" s="49">
        <v>48</v>
      </c>
      <c r="N130" s="49">
        <v>72</v>
      </c>
      <c r="O130" s="49">
        <v>120</v>
      </c>
      <c r="P130" s="49">
        <v>72</v>
      </c>
      <c r="Q130" s="49">
        <v>120</v>
      </c>
      <c r="R130" s="49">
        <v>120</v>
      </c>
      <c r="S130" s="92">
        <v>120</v>
      </c>
      <c r="T130" s="92">
        <v>180</v>
      </c>
      <c r="U130" s="92">
        <v>120</v>
      </c>
      <c r="V130" s="92">
        <v>180</v>
      </c>
      <c r="W130" s="92">
        <v>120</v>
      </c>
      <c r="X130" s="92">
        <v>120</v>
      </c>
      <c r="Y130" s="123">
        <v>144</v>
      </c>
      <c r="Z130" s="123"/>
      <c r="AA130" s="85"/>
    </row>
    <row r="131" spans="2:27" hidden="1" x14ac:dyDescent="0.25">
      <c r="B131" s="45" t="s">
        <v>609</v>
      </c>
      <c r="C131" s="45">
        <f t="shared" si="1"/>
        <v>128</v>
      </c>
      <c r="D131" s="44" t="s">
        <v>212</v>
      </c>
      <c r="E131" s="44" t="s">
        <v>308</v>
      </c>
      <c r="F131" s="44" t="s">
        <v>310</v>
      </c>
      <c r="G131" s="45" t="s">
        <v>235</v>
      </c>
      <c r="H131" s="47">
        <v>3215638563</v>
      </c>
      <c r="I131" s="48" t="s">
        <v>150</v>
      </c>
      <c r="J131" s="48" t="s">
        <v>236</v>
      </c>
      <c r="K131" s="48"/>
      <c r="L131" s="49"/>
      <c r="M131" s="49">
        <v>48</v>
      </c>
      <c r="N131" s="49">
        <v>60</v>
      </c>
      <c r="O131" s="49">
        <v>120</v>
      </c>
      <c r="P131" s="49">
        <v>72</v>
      </c>
      <c r="Q131" s="49">
        <v>120</v>
      </c>
      <c r="R131" s="49">
        <v>0</v>
      </c>
      <c r="S131" s="92">
        <v>0</v>
      </c>
      <c r="T131" s="92">
        <v>0</v>
      </c>
      <c r="U131" s="92"/>
      <c r="V131" s="92"/>
      <c r="W131" s="92"/>
      <c r="X131" s="92"/>
      <c r="Y131" s="123"/>
      <c r="Z131" s="123"/>
      <c r="AA131" s="85"/>
    </row>
    <row r="132" spans="2:27" ht="13.5" customHeight="1" x14ac:dyDescent="0.25">
      <c r="B132" s="45" t="s">
        <v>608</v>
      </c>
      <c r="C132" s="45">
        <f t="shared" si="1"/>
        <v>129</v>
      </c>
      <c r="D132" s="44" t="s">
        <v>212</v>
      </c>
      <c r="E132" s="44" t="s">
        <v>308</v>
      </c>
      <c r="F132" s="44" t="s">
        <v>310</v>
      </c>
      <c r="G132" s="45" t="s">
        <v>237</v>
      </c>
      <c r="H132" s="47">
        <v>2896657</v>
      </c>
      <c r="I132" s="48" t="s">
        <v>150</v>
      </c>
      <c r="J132" s="48" t="s">
        <v>238</v>
      </c>
      <c r="K132" s="48"/>
      <c r="L132" s="49"/>
      <c r="M132" s="49">
        <v>36</v>
      </c>
      <c r="N132" s="49">
        <v>48</v>
      </c>
      <c r="O132" s="49">
        <v>204</v>
      </c>
      <c r="P132" s="49">
        <v>60</v>
      </c>
      <c r="Q132" s="49">
        <v>180</v>
      </c>
      <c r="R132" s="49">
        <v>120</v>
      </c>
      <c r="S132" s="92">
        <v>180</v>
      </c>
      <c r="T132" s="92">
        <v>240</v>
      </c>
      <c r="U132" s="92">
        <v>180</v>
      </c>
      <c r="V132" s="92">
        <v>180</v>
      </c>
      <c r="W132" s="92">
        <v>120</v>
      </c>
      <c r="X132" s="92">
        <v>120</v>
      </c>
      <c r="Y132" s="123">
        <v>144</v>
      </c>
      <c r="Z132" s="123"/>
      <c r="AA132" s="85"/>
    </row>
    <row r="133" spans="2:27" x14ac:dyDescent="0.25">
      <c r="B133" s="45" t="s">
        <v>608</v>
      </c>
      <c r="C133" s="45">
        <f t="shared" si="1"/>
        <v>130</v>
      </c>
      <c r="D133" s="44" t="s">
        <v>32</v>
      </c>
      <c r="E133" s="44" t="s">
        <v>313</v>
      </c>
      <c r="F133" s="44" t="s">
        <v>314</v>
      </c>
      <c r="G133" s="45" t="s">
        <v>349</v>
      </c>
      <c r="H133" s="47" t="s">
        <v>350</v>
      </c>
      <c r="I133" s="48" t="s">
        <v>150</v>
      </c>
      <c r="J133" s="48" t="s">
        <v>351</v>
      </c>
      <c r="K133" s="48"/>
      <c r="L133" s="49"/>
      <c r="M133" s="49">
        <v>96</v>
      </c>
      <c r="N133" s="49">
        <f>7*12</f>
        <v>84</v>
      </c>
      <c r="O133" s="49">
        <f>8*12</f>
        <v>96</v>
      </c>
      <c r="P133" s="49">
        <v>85</v>
      </c>
      <c r="Q133" s="49">
        <v>77</v>
      </c>
      <c r="R133" s="49">
        <v>80</v>
      </c>
      <c r="S133" s="92">
        <v>84</v>
      </c>
      <c r="T133" s="92">
        <v>132</v>
      </c>
      <c r="U133" s="92">
        <v>108</v>
      </c>
      <c r="V133" s="92">
        <v>132</v>
      </c>
      <c r="W133" s="92">
        <v>96</v>
      </c>
      <c r="X133" s="92">
        <v>108</v>
      </c>
      <c r="Y133" s="123">
        <v>120</v>
      </c>
      <c r="Z133" s="123"/>
      <c r="AA133" s="85"/>
    </row>
    <row r="134" spans="2:27" x14ac:dyDescent="0.25">
      <c r="B134" s="45" t="s">
        <v>608</v>
      </c>
      <c r="C134" s="45">
        <f t="shared" si="1"/>
        <v>131</v>
      </c>
      <c r="D134" s="44" t="s">
        <v>32</v>
      </c>
      <c r="E134" s="44" t="s">
        <v>313</v>
      </c>
      <c r="F134" s="44" t="s">
        <v>314</v>
      </c>
      <c r="G134" s="45" t="s">
        <v>319</v>
      </c>
      <c r="H134" s="47" t="s">
        <v>352</v>
      </c>
      <c r="I134" s="48" t="s">
        <v>150</v>
      </c>
      <c r="J134" s="48" t="s">
        <v>359</v>
      </c>
      <c r="K134" s="48"/>
      <c r="L134" s="49">
        <f>8*12</f>
        <v>96</v>
      </c>
      <c r="M134" s="49">
        <v>480</v>
      </c>
      <c r="N134" s="49">
        <f>22*12</f>
        <v>264</v>
      </c>
      <c r="O134" s="49">
        <f>25*12</f>
        <v>300</v>
      </c>
      <c r="P134" s="49">
        <v>250</v>
      </c>
      <c r="Q134" s="49">
        <v>225</v>
      </c>
      <c r="R134" s="49">
        <v>270</v>
      </c>
      <c r="S134" s="92">
        <v>384</v>
      </c>
      <c r="T134" s="92">
        <v>372</v>
      </c>
      <c r="U134" s="92">
        <v>300</v>
      </c>
      <c r="V134" s="92">
        <v>336</v>
      </c>
      <c r="W134" s="92">
        <v>228</v>
      </c>
      <c r="X134" s="92">
        <v>360</v>
      </c>
      <c r="Y134" s="123">
        <v>336</v>
      </c>
      <c r="Z134" s="123"/>
      <c r="AA134" s="85"/>
    </row>
    <row r="135" spans="2:27" x14ac:dyDescent="0.25">
      <c r="B135" s="45" t="s">
        <v>608</v>
      </c>
      <c r="C135" s="45">
        <f t="shared" si="1"/>
        <v>132</v>
      </c>
      <c r="D135" s="44" t="s">
        <v>32</v>
      </c>
      <c r="E135" s="44" t="s">
        <v>313</v>
      </c>
      <c r="F135" s="44" t="s">
        <v>314</v>
      </c>
      <c r="G135" s="45" t="s">
        <v>364</v>
      </c>
      <c r="H135" s="47" t="s">
        <v>354</v>
      </c>
      <c r="I135" s="48" t="s">
        <v>150</v>
      </c>
      <c r="J135" s="48"/>
      <c r="K135" s="48"/>
      <c r="L135" s="49"/>
      <c r="M135" s="49">
        <v>72</v>
      </c>
      <c r="N135" s="49">
        <f>4*12</f>
        <v>48</v>
      </c>
      <c r="O135" s="49">
        <f>5*12</f>
        <v>60</v>
      </c>
      <c r="P135" s="49">
        <v>40</v>
      </c>
      <c r="Q135" s="49">
        <v>36</v>
      </c>
      <c r="R135" s="49">
        <v>36</v>
      </c>
      <c r="S135" s="92">
        <v>32</v>
      </c>
      <c r="T135" s="92">
        <v>47</v>
      </c>
      <c r="U135" s="92">
        <v>32</v>
      </c>
      <c r="V135" s="92">
        <v>60</v>
      </c>
      <c r="W135" s="92">
        <v>18</v>
      </c>
      <c r="X135" s="92">
        <v>12</v>
      </c>
      <c r="Y135" s="123">
        <v>0</v>
      </c>
      <c r="Z135" s="123"/>
      <c r="AA135" s="85"/>
    </row>
    <row r="136" spans="2:27" x14ac:dyDescent="0.25">
      <c r="B136" s="45" t="s">
        <v>608</v>
      </c>
      <c r="C136" s="45">
        <f t="shared" si="1"/>
        <v>133</v>
      </c>
      <c r="D136" s="44" t="s">
        <v>32</v>
      </c>
      <c r="E136" s="44" t="s">
        <v>313</v>
      </c>
      <c r="F136" s="44" t="s">
        <v>314</v>
      </c>
      <c r="G136" s="45" t="s">
        <v>365</v>
      </c>
      <c r="H136" s="47" t="s">
        <v>355</v>
      </c>
      <c r="I136" s="48" t="s">
        <v>150</v>
      </c>
      <c r="J136" s="48" t="s">
        <v>360</v>
      </c>
      <c r="K136" s="48"/>
      <c r="L136" s="49"/>
      <c r="M136" s="49">
        <v>108</v>
      </c>
      <c r="N136" s="49">
        <f>12*12</f>
        <v>144</v>
      </c>
      <c r="O136" s="49">
        <v>144</v>
      </c>
      <c r="P136" s="49">
        <v>180</v>
      </c>
      <c r="Q136" s="49">
        <v>168</v>
      </c>
      <c r="R136" s="49">
        <v>170</v>
      </c>
      <c r="S136" s="92">
        <v>192</v>
      </c>
      <c r="T136" s="92">
        <v>216</v>
      </c>
      <c r="U136" s="92">
        <v>204</v>
      </c>
      <c r="V136" s="92">
        <v>180</v>
      </c>
      <c r="W136" s="92">
        <v>144</v>
      </c>
      <c r="X136" s="92">
        <v>220</v>
      </c>
      <c r="Y136" s="123">
        <v>228</v>
      </c>
      <c r="Z136" s="123"/>
      <c r="AA136" s="85"/>
    </row>
    <row r="137" spans="2:27" hidden="1" x14ac:dyDescent="0.25">
      <c r="B137" s="30" t="s">
        <v>609</v>
      </c>
      <c r="C137" s="30">
        <f t="shared" si="1"/>
        <v>134</v>
      </c>
      <c r="D137" s="29" t="s">
        <v>37</v>
      </c>
      <c r="E137" s="29" t="s">
        <v>313</v>
      </c>
      <c r="F137" s="29" t="s">
        <v>314</v>
      </c>
      <c r="G137" s="30" t="s">
        <v>368</v>
      </c>
      <c r="H137" s="33" t="s">
        <v>356</v>
      </c>
      <c r="I137" s="31" t="s">
        <v>150</v>
      </c>
      <c r="J137" s="31" t="s">
        <v>361</v>
      </c>
      <c r="K137" s="31"/>
      <c r="L137" s="32"/>
      <c r="M137" s="32"/>
      <c r="N137" s="32"/>
      <c r="O137" s="32"/>
      <c r="P137" s="32"/>
      <c r="Q137" s="32"/>
      <c r="R137" s="32"/>
      <c r="S137" s="84"/>
      <c r="T137" s="84"/>
      <c r="U137" s="84"/>
      <c r="V137" s="84"/>
      <c r="W137" s="84"/>
      <c r="X137" s="84"/>
      <c r="Y137" s="84"/>
      <c r="Z137" s="84"/>
      <c r="AA137" s="86"/>
    </row>
    <row r="138" spans="2:27" x14ac:dyDescent="0.25">
      <c r="B138" s="45" t="s">
        <v>608</v>
      </c>
      <c r="C138" s="45">
        <f t="shared" si="1"/>
        <v>135</v>
      </c>
      <c r="D138" s="44" t="s">
        <v>353</v>
      </c>
      <c r="E138" s="44" t="s">
        <v>313</v>
      </c>
      <c r="F138" s="44" t="s">
        <v>314</v>
      </c>
      <c r="G138" s="45" t="s">
        <v>366</v>
      </c>
      <c r="H138" s="47" t="s">
        <v>357</v>
      </c>
      <c r="I138" s="48" t="s">
        <v>150</v>
      </c>
      <c r="J138" s="48" t="s">
        <v>362</v>
      </c>
      <c r="K138" s="48"/>
      <c r="L138" s="49"/>
      <c r="M138" s="49">
        <v>156</v>
      </c>
      <c r="N138" s="49">
        <v>160</v>
      </c>
      <c r="O138" s="49">
        <v>160</v>
      </c>
      <c r="P138" s="49">
        <f>20*12</f>
        <v>240</v>
      </c>
      <c r="Q138" s="49">
        <v>226</v>
      </c>
      <c r="R138" s="49">
        <v>220</v>
      </c>
      <c r="S138" s="92">
        <v>204</v>
      </c>
      <c r="T138" s="92">
        <v>240</v>
      </c>
      <c r="U138" s="92">
        <v>228</v>
      </c>
      <c r="V138" s="92">
        <v>264</v>
      </c>
      <c r="W138" s="92">
        <v>192</v>
      </c>
      <c r="X138" s="92">
        <v>288</v>
      </c>
      <c r="Y138" s="123">
        <v>240</v>
      </c>
      <c r="Z138" s="123"/>
      <c r="AA138" s="85"/>
    </row>
    <row r="139" spans="2:27" x14ac:dyDescent="0.25">
      <c r="B139" s="45" t="s">
        <v>608</v>
      </c>
      <c r="C139" s="45">
        <f t="shared" si="1"/>
        <v>136</v>
      </c>
      <c r="D139" s="44" t="s">
        <v>37</v>
      </c>
      <c r="E139" s="44" t="s">
        <v>313</v>
      </c>
      <c r="F139" s="44" t="s">
        <v>314</v>
      </c>
      <c r="G139" s="45" t="s">
        <v>367</v>
      </c>
      <c r="H139" s="47" t="s">
        <v>358</v>
      </c>
      <c r="I139" s="48" t="s">
        <v>150</v>
      </c>
      <c r="J139" s="48" t="s">
        <v>363</v>
      </c>
      <c r="K139" s="48"/>
      <c r="L139" s="49"/>
      <c r="M139" s="49">
        <v>204</v>
      </c>
      <c r="N139" s="49">
        <f>20*12</f>
        <v>240</v>
      </c>
      <c r="O139" s="49">
        <f>22*12</f>
        <v>264</v>
      </c>
      <c r="P139" s="49">
        <v>264</v>
      </c>
      <c r="Q139" s="49">
        <v>240</v>
      </c>
      <c r="R139" s="49">
        <v>260</v>
      </c>
      <c r="S139" s="92">
        <v>252</v>
      </c>
      <c r="T139" s="92">
        <v>336</v>
      </c>
      <c r="U139" s="92">
        <v>264</v>
      </c>
      <c r="V139" s="92">
        <v>236</v>
      </c>
      <c r="W139" s="92">
        <v>288</v>
      </c>
      <c r="X139" s="92">
        <v>360</v>
      </c>
      <c r="Y139" s="123">
        <v>300</v>
      </c>
      <c r="Z139" s="123"/>
      <c r="AA139" s="85"/>
    </row>
    <row r="140" spans="2:27" x14ac:dyDescent="0.25">
      <c r="B140" s="45" t="s">
        <v>608</v>
      </c>
      <c r="C140" s="45">
        <f t="shared" si="1"/>
        <v>137</v>
      </c>
      <c r="D140" s="44" t="s">
        <v>212</v>
      </c>
      <c r="E140" s="44" t="s">
        <v>313</v>
      </c>
      <c r="F140" s="44" t="s">
        <v>310</v>
      </c>
      <c r="G140" s="89" t="s">
        <v>376</v>
      </c>
      <c r="H140" s="90" t="s">
        <v>377</v>
      </c>
      <c r="I140" s="91" t="s">
        <v>150</v>
      </c>
      <c r="J140" s="91" t="s">
        <v>378</v>
      </c>
      <c r="K140" s="91"/>
      <c r="L140" s="92"/>
      <c r="M140" s="92"/>
      <c r="N140" s="49"/>
      <c r="O140" s="49"/>
      <c r="P140" s="49">
        <v>360</v>
      </c>
      <c r="Q140" s="49">
        <v>420</v>
      </c>
      <c r="R140" s="49">
        <v>360</v>
      </c>
      <c r="S140" s="92">
        <v>720</v>
      </c>
      <c r="T140" s="92">
        <v>720</v>
      </c>
      <c r="U140" s="92">
        <v>480</v>
      </c>
      <c r="V140" s="92">
        <v>504</v>
      </c>
      <c r="W140" s="92">
        <v>420</v>
      </c>
      <c r="X140" s="92">
        <v>240</v>
      </c>
      <c r="Y140" s="123">
        <v>300</v>
      </c>
      <c r="Z140" s="123"/>
      <c r="AA140" s="85"/>
    </row>
    <row r="141" spans="2:27" x14ac:dyDescent="0.25">
      <c r="B141" s="89" t="s">
        <v>608</v>
      </c>
      <c r="C141" s="89">
        <f t="shared" si="1"/>
        <v>138</v>
      </c>
      <c r="D141" s="88" t="s">
        <v>49</v>
      </c>
      <c r="E141" s="88" t="s">
        <v>315</v>
      </c>
      <c r="F141" s="88" t="s">
        <v>347</v>
      </c>
      <c r="G141" s="89" t="s">
        <v>569</v>
      </c>
      <c r="H141" s="90">
        <v>3207412307</v>
      </c>
      <c r="I141" s="91" t="s">
        <v>150</v>
      </c>
      <c r="J141" s="91" t="s">
        <v>588</v>
      </c>
      <c r="K141" s="91">
        <v>31523227</v>
      </c>
      <c r="L141" s="92"/>
      <c r="M141" s="92"/>
      <c r="N141" s="92"/>
      <c r="O141" s="92">
        <v>7</v>
      </c>
      <c r="P141" s="92">
        <v>7</v>
      </c>
      <c r="Q141" s="92">
        <v>7</v>
      </c>
      <c r="R141" s="92">
        <v>0</v>
      </c>
      <c r="S141" s="92">
        <v>0</v>
      </c>
      <c r="T141" s="92">
        <v>12</v>
      </c>
      <c r="U141" s="92">
        <v>5</v>
      </c>
      <c r="V141" s="92">
        <v>5</v>
      </c>
      <c r="W141" s="92">
        <v>6</v>
      </c>
      <c r="X141" s="92">
        <v>7</v>
      </c>
      <c r="Y141" s="123">
        <v>12</v>
      </c>
      <c r="Z141" s="123"/>
      <c r="AA141" s="85"/>
    </row>
    <row r="142" spans="2:27" x14ac:dyDescent="0.25">
      <c r="B142" s="89" t="s">
        <v>608</v>
      </c>
      <c r="C142" s="89">
        <f t="shared" ref="C142:C184" si="2">+C141+1</f>
        <v>139</v>
      </c>
      <c r="D142" s="88" t="s">
        <v>49</v>
      </c>
      <c r="E142" s="88" t="s">
        <v>315</v>
      </c>
      <c r="F142" s="88" t="s">
        <v>347</v>
      </c>
      <c r="G142" s="89" t="s">
        <v>570</v>
      </c>
      <c r="H142" s="90">
        <v>3113754878</v>
      </c>
      <c r="I142" s="91" t="s">
        <v>150</v>
      </c>
      <c r="J142" s="91" t="s">
        <v>589</v>
      </c>
      <c r="K142" s="91">
        <v>94422261</v>
      </c>
      <c r="L142" s="92"/>
      <c r="M142" s="92"/>
      <c r="N142" s="92"/>
      <c r="O142" s="92">
        <v>3</v>
      </c>
      <c r="P142" s="92">
        <v>7</v>
      </c>
      <c r="Q142" s="92">
        <v>7</v>
      </c>
      <c r="R142" s="92">
        <v>5</v>
      </c>
      <c r="S142" s="92">
        <v>10</v>
      </c>
      <c r="T142" s="92">
        <v>2</v>
      </c>
      <c r="U142" s="92">
        <v>2</v>
      </c>
      <c r="V142" s="92">
        <v>0</v>
      </c>
      <c r="W142" s="92">
        <v>0</v>
      </c>
      <c r="X142" s="92">
        <v>0</v>
      </c>
      <c r="Y142" s="123">
        <v>0</v>
      </c>
      <c r="Z142" s="123"/>
      <c r="AA142" s="85"/>
    </row>
    <row r="143" spans="2:27" hidden="1" x14ac:dyDescent="0.25">
      <c r="B143" s="113" t="s">
        <v>609</v>
      </c>
      <c r="C143" s="113">
        <f t="shared" si="2"/>
        <v>140</v>
      </c>
      <c r="D143" s="114" t="s">
        <v>49</v>
      </c>
      <c r="E143" s="114" t="s">
        <v>315</v>
      </c>
      <c r="F143" s="114" t="s">
        <v>347</v>
      </c>
      <c r="G143" s="113" t="s">
        <v>571</v>
      </c>
      <c r="H143" s="115">
        <v>6622328</v>
      </c>
      <c r="I143" s="83" t="s">
        <v>150</v>
      </c>
      <c r="J143" s="83" t="s">
        <v>590</v>
      </c>
      <c r="K143" s="83">
        <v>166659803</v>
      </c>
      <c r="L143" s="84"/>
      <c r="M143" s="84"/>
      <c r="N143" s="84"/>
      <c r="O143" s="84">
        <v>0</v>
      </c>
      <c r="P143" s="84">
        <v>0</v>
      </c>
      <c r="Q143" s="84">
        <v>0</v>
      </c>
      <c r="R143" s="84">
        <v>6</v>
      </c>
      <c r="S143" s="116">
        <v>0</v>
      </c>
      <c r="T143" s="116">
        <v>0</v>
      </c>
      <c r="U143" s="116">
        <v>0</v>
      </c>
      <c r="V143" s="116">
        <v>0</v>
      </c>
      <c r="W143" s="116"/>
      <c r="X143" s="116"/>
      <c r="Y143" s="116"/>
      <c r="Z143" s="116"/>
      <c r="AA143" s="117"/>
    </row>
    <row r="144" spans="2:27" x14ac:dyDescent="0.25">
      <c r="B144" s="89" t="s">
        <v>608</v>
      </c>
      <c r="C144" s="89">
        <f t="shared" si="2"/>
        <v>141</v>
      </c>
      <c r="D144" s="88" t="s">
        <v>49</v>
      </c>
      <c r="E144" s="88" t="s">
        <v>315</v>
      </c>
      <c r="F144" s="88" t="s">
        <v>347</v>
      </c>
      <c r="G144" s="89" t="s">
        <v>572</v>
      </c>
      <c r="H144" s="90">
        <v>5514843</v>
      </c>
      <c r="I144" s="91" t="s">
        <v>150</v>
      </c>
      <c r="J144" s="91" t="s">
        <v>591</v>
      </c>
      <c r="K144" s="91">
        <v>66814208</v>
      </c>
      <c r="L144" s="92"/>
      <c r="M144" s="92"/>
      <c r="N144" s="92"/>
      <c r="O144" s="92">
        <v>3</v>
      </c>
      <c r="P144" s="92">
        <v>0</v>
      </c>
      <c r="Q144" s="92">
        <v>3</v>
      </c>
      <c r="R144" s="92">
        <v>7</v>
      </c>
      <c r="S144" s="92">
        <v>3</v>
      </c>
      <c r="T144" s="92">
        <v>4</v>
      </c>
      <c r="U144" s="92">
        <v>0</v>
      </c>
      <c r="V144" s="92">
        <v>5</v>
      </c>
      <c r="W144" s="92">
        <v>15</v>
      </c>
      <c r="X144" s="92">
        <v>0</v>
      </c>
      <c r="Y144" s="123">
        <v>5</v>
      </c>
      <c r="Z144" s="123"/>
      <c r="AA144" s="85"/>
    </row>
    <row r="145" spans="2:27" x14ac:dyDescent="0.25">
      <c r="B145" s="89" t="s">
        <v>608</v>
      </c>
      <c r="C145" s="89">
        <f t="shared" si="2"/>
        <v>142</v>
      </c>
      <c r="D145" s="88" t="s">
        <v>49</v>
      </c>
      <c r="E145" s="88" t="s">
        <v>315</v>
      </c>
      <c r="F145" s="88" t="s">
        <v>347</v>
      </c>
      <c r="G145" s="89" t="s">
        <v>573</v>
      </c>
      <c r="H145" s="90">
        <v>3117636936</v>
      </c>
      <c r="I145" s="91" t="s">
        <v>150</v>
      </c>
      <c r="J145" s="91" t="s">
        <v>592</v>
      </c>
      <c r="K145" s="91">
        <v>1038405574</v>
      </c>
      <c r="L145" s="92"/>
      <c r="M145" s="92"/>
      <c r="N145" s="92"/>
      <c r="O145" s="92">
        <v>3</v>
      </c>
      <c r="P145" s="92">
        <v>7</v>
      </c>
      <c r="Q145" s="92">
        <v>3</v>
      </c>
      <c r="R145" s="92">
        <v>3</v>
      </c>
      <c r="S145" s="92">
        <v>7</v>
      </c>
      <c r="T145" s="92">
        <v>8</v>
      </c>
      <c r="U145" s="92">
        <v>6</v>
      </c>
      <c r="V145" s="92">
        <v>7</v>
      </c>
      <c r="W145" s="92">
        <v>9</v>
      </c>
      <c r="X145" s="92">
        <v>0</v>
      </c>
      <c r="Y145" s="123">
        <v>8</v>
      </c>
      <c r="Z145" s="123"/>
      <c r="AA145" s="85"/>
    </row>
    <row r="146" spans="2:27" x14ac:dyDescent="0.25">
      <c r="B146" s="89" t="s">
        <v>608</v>
      </c>
      <c r="C146" s="89">
        <f t="shared" si="2"/>
        <v>143</v>
      </c>
      <c r="D146" s="88" t="s">
        <v>49</v>
      </c>
      <c r="E146" s="88" t="s">
        <v>315</v>
      </c>
      <c r="F146" s="88" t="s">
        <v>347</v>
      </c>
      <c r="G146" s="89" t="s">
        <v>574</v>
      </c>
      <c r="H146" s="90">
        <v>5531616</v>
      </c>
      <c r="I146" s="91" t="s">
        <v>150</v>
      </c>
      <c r="J146" s="91" t="s">
        <v>593</v>
      </c>
      <c r="K146" s="91">
        <v>15429690</v>
      </c>
      <c r="L146" s="92"/>
      <c r="M146" s="92"/>
      <c r="N146" s="92"/>
      <c r="O146" s="92">
        <v>7</v>
      </c>
      <c r="P146" s="92">
        <v>0</v>
      </c>
      <c r="Q146" s="92">
        <v>7</v>
      </c>
      <c r="R146" s="92">
        <v>7</v>
      </c>
      <c r="S146" s="92">
        <v>3</v>
      </c>
      <c r="T146" s="92">
        <v>8</v>
      </c>
      <c r="U146" s="92">
        <v>4</v>
      </c>
      <c r="V146" s="92">
        <v>8</v>
      </c>
      <c r="W146" s="92">
        <v>19</v>
      </c>
      <c r="X146" s="92">
        <v>0</v>
      </c>
      <c r="Y146" s="123">
        <v>12</v>
      </c>
      <c r="Z146" s="123"/>
      <c r="AA146" s="85"/>
    </row>
    <row r="147" spans="2:27" x14ac:dyDescent="0.25">
      <c r="B147" s="89" t="s">
        <v>608</v>
      </c>
      <c r="C147" s="89">
        <f t="shared" si="2"/>
        <v>144</v>
      </c>
      <c r="D147" s="88" t="s">
        <v>49</v>
      </c>
      <c r="E147" s="88" t="s">
        <v>315</v>
      </c>
      <c r="F147" s="88" t="s">
        <v>347</v>
      </c>
      <c r="G147" s="89" t="s">
        <v>575</v>
      </c>
      <c r="H147" s="121">
        <v>3053624703</v>
      </c>
      <c r="I147" s="122" t="s">
        <v>150</v>
      </c>
      <c r="J147" s="122" t="s">
        <v>594</v>
      </c>
      <c r="K147" s="122">
        <v>1144176021</v>
      </c>
      <c r="L147" s="123"/>
      <c r="M147" s="123"/>
      <c r="N147" s="123"/>
      <c r="O147" s="123">
        <v>3</v>
      </c>
      <c r="P147" s="123">
        <v>3</v>
      </c>
      <c r="Q147" s="123">
        <v>3</v>
      </c>
      <c r="R147" s="123">
        <v>0</v>
      </c>
      <c r="S147" s="92">
        <v>0</v>
      </c>
      <c r="T147" s="92">
        <v>5</v>
      </c>
      <c r="U147" s="92">
        <v>8</v>
      </c>
      <c r="V147" s="92">
        <v>8</v>
      </c>
      <c r="W147" s="92">
        <v>5</v>
      </c>
      <c r="X147" s="92">
        <v>0</v>
      </c>
      <c r="Y147" s="123">
        <v>7</v>
      </c>
      <c r="Z147" s="123"/>
      <c r="AA147" s="85"/>
    </row>
    <row r="148" spans="2:27" x14ac:dyDescent="0.25">
      <c r="B148" s="89" t="s">
        <v>608</v>
      </c>
      <c r="C148" s="89">
        <f t="shared" si="2"/>
        <v>145</v>
      </c>
      <c r="D148" s="88" t="s">
        <v>49</v>
      </c>
      <c r="E148" s="88" t="s">
        <v>315</v>
      </c>
      <c r="F148" s="88" t="s">
        <v>347</v>
      </c>
      <c r="G148" s="89" t="s">
        <v>576</v>
      </c>
      <c r="H148" s="121">
        <v>3103953082</v>
      </c>
      <c r="I148" s="122" t="s">
        <v>150</v>
      </c>
      <c r="J148" s="122" t="s">
        <v>595</v>
      </c>
      <c r="K148" s="122">
        <v>1058844991</v>
      </c>
      <c r="L148" s="123"/>
      <c r="M148" s="123"/>
      <c r="N148" s="123"/>
      <c r="O148" s="123">
        <v>3</v>
      </c>
      <c r="P148" s="123">
        <v>0</v>
      </c>
      <c r="Q148" s="123">
        <v>3</v>
      </c>
      <c r="R148" s="123">
        <v>7</v>
      </c>
      <c r="S148" s="92">
        <v>5</v>
      </c>
      <c r="T148" s="92">
        <v>8</v>
      </c>
      <c r="U148" s="92">
        <v>9</v>
      </c>
      <c r="V148" s="92">
        <v>6</v>
      </c>
      <c r="W148" s="92">
        <v>8</v>
      </c>
      <c r="X148" s="92">
        <v>0</v>
      </c>
      <c r="Y148" s="123">
        <v>6</v>
      </c>
      <c r="Z148" s="123"/>
      <c r="AA148" s="85"/>
    </row>
    <row r="149" spans="2:27" x14ac:dyDescent="0.25">
      <c r="B149" s="89" t="s">
        <v>608</v>
      </c>
      <c r="C149" s="89">
        <f t="shared" si="2"/>
        <v>146</v>
      </c>
      <c r="D149" s="88" t="s">
        <v>49</v>
      </c>
      <c r="E149" s="88" t="s">
        <v>315</v>
      </c>
      <c r="F149" s="88" t="s">
        <v>347</v>
      </c>
      <c r="G149" s="89" t="s">
        <v>577</v>
      </c>
      <c r="H149" s="121">
        <v>3931110</v>
      </c>
      <c r="I149" s="122" t="s">
        <v>150</v>
      </c>
      <c r="J149" s="122" t="s">
        <v>596</v>
      </c>
      <c r="K149" s="122">
        <v>3493913</v>
      </c>
      <c r="L149" s="123"/>
      <c r="M149" s="123"/>
      <c r="N149" s="123"/>
      <c r="O149" s="123">
        <v>7</v>
      </c>
      <c r="P149" s="123">
        <v>3</v>
      </c>
      <c r="Q149" s="123">
        <v>0</v>
      </c>
      <c r="R149" s="123">
        <v>3</v>
      </c>
      <c r="S149" s="92">
        <v>6</v>
      </c>
      <c r="T149" s="92">
        <v>9</v>
      </c>
      <c r="U149" s="92">
        <v>8</v>
      </c>
      <c r="V149" s="92">
        <v>3</v>
      </c>
      <c r="W149" s="92">
        <v>5</v>
      </c>
      <c r="X149" s="92">
        <v>0</v>
      </c>
      <c r="Y149" s="123">
        <v>9</v>
      </c>
      <c r="Z149" s="123"/>
      <c r="AA149" s="85"/>
    </row>
    <row r="150" spans="2:27" x14ac:dyDescent="0.25">
      <c r="B150" s="89" t="s">
        <v>608</v>
      </c>
      <c r="C150" s="89">
        <f t="shared" si="2"/>
        <v>147</v>
      </c>
      <c r="D150" s="88" t="s">
        <v>49</v>
      </c>
      <c r="E150" s="88" t="s">
        <v>315</v>
      </c>
      <c r="F150" s="88" t="s">
        <v>347</v>
      </c>
      <c r="G150" s="89" t="s">
        <v>578</v>
      </c>
      <c r="H150" s="121">
        <v>3217534183</v>
      </c>
      <c r="I150" s="122" t="s">
        <v>150</v>
      </c>
      <c r="J150" s="122" t="s">
        <v>597</v>
      </c>
      <c r="K150" s="122">
        <v>1144137846</v>
      </c>
      <c r="L150" s="123"/>
      <c r="M150" s="123"/>
      <c r="N150" s="123"/>
      <c r="O150" s="123">
        <v>3</v>
      </c>
      <c r="P150" s="123">
        <v>3</v>
      </c>
      <c r="Q150" s="123">
        <v>0</v>
      </c>
      <c r="R150" s="123">
        <v>3</v>
      </c>
      <c r="S150" s="92">
        <v>4</v>
      </c>
      <c r="T150" s="92">
        <v>4</v>
      </c>
      <c r="U150" s="92">
        <v>4</v>
      </c>
      <c r="V150" s="92">
        <v>7</v>
      </c>
      <c r="W150" s="92">
        <v>6</v>
      </c>
      <c r="X150" s="92">
        <v>0</v>
      </c>
      <c r="Y150" s="123">
        <v>4</v>
      </c>
      <c r="Z150" s="123"/>
      <c r="AA150" s="85"/>
    </row>
    <row r="151" spans="2:27" x14ac:dyDescent="0.25">
      <c r="B151" s="89" t="s">
        <v>608</v>
      </c>
      <c r="C151" s="89">
        <f t="shared" si="2"/>
        <v>148</v>
      </c>
      <c r="D151" s="88" t="s">
        <v>49</v>
      </c>
      <c r="E151" s="88" t="s">
        <v>315</v>
      </c>
      <c r="F151" s="88" t="s">
        <v>347</v>
      </c>
      <c r="G151" s="89" t="s">
        <v>579</v>
      </c>
      <c r="H151" s="121">
        <v>3146940159</v>
      </c>
      <c r="I151" s="122" t="s">
        <v>150</v>
      </c>
      <c r="J151" s="122" t="s">
        <v>598</v>
      </c>
      <c r="K151" s="122">
        <v>1107514677</v>
      </c>
      <c r="L151" s="123"/>
      <c r="M151" s="123"/>
      <c r="N151" s="123"/>
      <c r="O151" s="123">
        <v>7</v>
      </c>
      <c r="P151" s="123">
        <v>0</v>
      </c>
      <c r="Q151" s="123">
        <v>0</v>
      </c>
      <c r="R151" s="123">
        <v>3</v>
      </c>
      <c r="S151" s="92">
        <v>4</v>
      </c>
      <c r="T151" s="92">
        <v>0</v>
      </c>
      <c r="U151" s="92">
        <v>6</v>
      </c>
      <c r="V151" s="92">
        <v>3</v>
      </c>
      <c r="W151" s="92">
        <v>7</v>
      </c>
      <c r="X151" s="92">
        <v>0</v>
      </c>
      <c r="Y151" s="123">
        <v>5</v>
      </c>
      <c r="Z151" s="123"/>
      <c r="AA151" s="85"/>
    </row>
    <row r="152" spans="2:27" x14ac:dyDescent="0.25">
      <c r="B152" s="89" t="s">
        <v>608</v>
      </c>
      <c r="C152" s="89">
        <f t="shared" si="2"/>
        <v>149</v>
      </c>
      <c r="D152" s="88" t="s">
        <v>49</v>
      </c>
      <c r="E152" s="88" t="s">
        <v>315</v>
      </c>
      <c r="F152" s="88" t="s">
        <v>347</v>
      </c>
      <c r="G152" s="89" t="s">
        <v>574</v>
      </c>
      <c r="H152" s="121">
        <v>3137671699</v>
      </c>
      <c r="I152" s="122" t="s">
        <v>150</v>
      </c>
      <c r="J152" s="122" t="s">
        <v>599</v>
      </c>
      <c r="K152" s="122">
        <v>16681943</v>
      </c>
      <c r="L152" s="123"/>
      <c r="M152" s="123"/>
      <c r="N152" s="123"/>
      <c r="O152" s="123">
        <v>14</v>
      </c>
      <c r="P152" s="123">
        <v>21</v>
      </c>
      <c r="Q152" s="123">
        <v>0</v>
      </c>
      <c r="R152" s="123">
        <v>3</v>
      </c>
      <c r="S152" s="92">
        <v>0</v>
      </c>
      <c r="T152" s="92">
        <v>3</v>
      </c>
      <c r="U152" s="92">
        <v>0</v>
      </c>
      <c r="V152" s="92">
        <v>1</v>
      </c>
      <c r="W152" s="92">
        <v>2</v>
      </c>
      <c r="X152" s="92">
        <v>2</v>
      </c>
      <c r="Y152" s="123">
        <v>0</v>
      </c>
      <c r="Z152" s="123"/>
      <c r="AA152" s="85"/>
    </row>
    <row r="153" spans="2:27" x14ac:dyDescent="0.25">
      <c r="B153" s="89" t="s">
        <v>608</v>
      </c>
      <c r="C153" s="89">
        <f t="shared" si="2"/>
        <v>150</v>
      </c>
      <c r="D153" s="88" t="s">
        <v>49</v>
      </c>
      <c r="E153" s="88" t="s">
        <v>315</v>
      </c>
      <c r="F153" s="88" t="s">
        <v>347</v>
      </c>
      <c r="G153" s="89" t="s">
        <v>580</v>
      </c>
      <c r="H153" s="121">
        <v>4337053</v>
      </c>
      <c r="I153" s="122" t="s">
        <v>150</v>
      </c>
      <c r="J153" s="122" t="s">
        <v>600</v>
      </c>
      <c r="K153" s="122">
        <v>29185357</v>
      </c>
      <c r="L153" s="123"/>
      <c r="M153" s="123"/>
      <c r="N153" s="123"/>
      <c r="O153" s="123">
        <v>14</v>
      </c>
      <c r="P153" s="123">
        <v>21</v>
      </c>
      <c r="Q153" s="123">
        <v>0</v>
      </c>
      <c r="R153" s="123">
        <v>0</v>
      </c>
      <c r="S153" s="92">
        <v>0</v>
      </c>
      <c r="T153" s="92">
        <v>10</v>
      </c>
      <c r="U153" s="92">
        <v>5</v>
      </c>
      <c r="V153" s="92">
        <v>6</v>
      </c>
      <c r="W153" s="92">
        <v>4</v>
      </c>
      <c r="X153" s="92">
        <v>3</v>
      </c>
      <c r="Y153" s="123">
        <v>0</v>
      </c>
      <c r="Z153" s="123"/>
      <c r="AA153" s="85"/>
    </row>
    <row r="154" spans="2:27" x14ac:dyDescent="0.25">
      <c r="B154" s="89" t="s">
        <v>608</v>
      </c>
      <c r="C154" s="89">
        <f t="shared" si="2"/>
        <v>151</v>
      </c>
      <c r="D154" s="88" t="s">
        <v>49</v>
      </c>
      <c r="E154" s="88" t="s">
        <v>315</v>
      </c>
      <c r="F154" s="88" t="s">
        <v>347</v>
      </c>
      <c r="G154" s="89" t="s">
        <v>581</v>
      </c>
      <c r="H154" s="90">
        <v>3207552888</v>
      </c>
      <c r="I154" s="91" t="s">
        <v>150</v>
      </c>
      <c r="J154" s="91" t="s">
        <v>601</v>
      </c>
      <c r="K154" s="91">
        <v>66978222</v>
      </c>
      <c r="L154" s="92"/>
      <c r="M154" s="92"/>
      <c r="N154" s="92"/>
      <c r="O154" s="92">
        <v>14</v>
      </c>
      <c r="P154" s="92">
        <v>21</v>
      </c>
      <c r="Q154" s="92">
        <v>0</v>
      </c>
      <c r="R154" s="92">
        <v>6</v>
      </c>
      <c r="S154" s="92">
        <v>7</v>
      </c>
      <c r="T154" s="92">
        <v>12</v>
      </c>
      <c r="U154" s="92">
        <v>0</v>
      </c>
      <c r="V154" s="92">
        <v>0</v>
      </c>
      <c r="W154" s="92">
        <v>3</v>
      </c>
      <c r="X154" s="92">
        <v>3</v>
      </c>
      <c r="Y154" s="123">
        <v>0</v>
      </c>
      <c r="Z154" s="123"/>
      <c r="AA154" s="85"/>
    </row>
    <row r="155" spans="2:27" x14ac:dyDescent="0.25">
      <c r="B155" s="89" t="s">
        <v>608</v>
      </c>
      <c r="C155" s="89">
        <f t="shared" si="2"/>
        <v>152</v>
      </c>
      <c r="D155" s="88" t="s">
        <v>49</v>
      </c>
      <c r="E155" s="88" t="s">
        <v>315</v>
      </c>
      <c r="F155" s="88" t="s">
        <v>347</v>
      </c>
      <c r="G155" s="89" t="s">
        <v>582</v>
      </c>
      <c r="H155" s="90">
        <v>3162451945</v>
      </c>
      <c r="I155" s="91" t="s">
        <v>150</v>
      </c>
      <c r="J155" s="91" t="s">
        <v>602</v>
      </c>
      <c r="K155" s="91">
        <v>1144084729</v>
      </c>
      <c r="L155" s="92"/>
      <c r="M155" s="92"/>
      <c r="N155" s="92"/>
      <c r="O155" s="92">
        <v>14</v>
      </c>
      <c r="P155" s="92">
        <v>21</v>
      </c>
      <c r="Q155" s="92">
        <v>0</v>
      </c>
      <c r="R155" s="92">
        <v>3</v>
      </c>
      <c r="S155" s="92">
        <v>7</v>
      </c>
      <c r="T155" s="92">
        <v>8</v>
      </c>
      <c r="U155" s="92">
        <v>0</v>
      </c>
      <c r="V155" s="92">
        <v>3</v>
      </c>
      <c r="W155" s="92">
        <v>5</v>
      </c>
      <c r="X155" s="92">
        <v>3</v>
      </c>
      <c r="Y155" s="123">
        <v>0</v>
      </c>
      <c r="Z155" s="123"/>
      <c r="AA155" s="85"/>
    </row>
    <row r="156" spans="2:27" x14ac:dyDescent="0.25">
      <c r="B156" s="89" t="s">
        <v>608</v>
      </c>
      <c r="C156" s="89">
        <f t="shared" si="2"/>
        <v>153</v>
      </c>
      <c r="D156" s="88" t="s">
        <v>49</v>
      </c>
      <c r="E156" s="88" t="s">
        <v>315</v>
      </c>
      <c r="F156" s="88" t="s">
        <v>347</v>
      </c>
      <c r="G156" s="89" t="s">
        <v>583</v>
      </c>
      <c r="H156" s="90">
        <v>3722002</v>
      </c>
      <c r="I156" s="91" t="s">
        <v>150</v>
      </c>
      <c r="J156" s="91" t="s">
        <v>603</v>
      </c>
      <c r="K156" s="91">
        <v>1130598374</v>
      </c>
      <c r="L156" s="92"/>
      <c r="M156" s="92"/>
      <c r="N156" s="92"/>
      <c r="O156" s="92">
        <v>0</v>
      </c>
      <c r="P156" s="92">
        <v>3</v>
      </c>
      <c r="Q156" s="92">
        <v>0</v>
      </c>
      <c r="R156" s="92">
        <v>7</v>
      </c>
      <c r="S156" s="92">
        <v>5</v>
      </c>
      <c r="T156" s="92">
        <v>6</v>
      </c>
      <c r="U156" s="92">
        <v>0</v>
      </c>
      <c r="V156" s="92">
        <v>3</v>
      </c>
      <c r="W156" s="92">
        <v>0</v>
      </c>
      <c r="X156" s="92">
        <v>2</v>
      </c>
      <c r="Y156" s="123">
        <v>0</v>
      </c>
      <c r="Z156" s="123"/>
      <c r="AA156" s="85"/>
    </row>
    <row r="157" spans="2:27" x14ac:dyDescent="0.25">
      <c r="B157" s="89" t="s">
        <v>608</v>
      </c>
      <c r="C157" s="89">
        <f t="shared" si="2"/>
        <v>154</v>
      </c>
      <c r="D157" s="88" t="s">
        <v>49</v>
      </c>
      <c r="E157" s="88" t="s">
        <v>315</v>
      </c>
      <c r="F157" s="88" t="s">
        <v>347</v>
      </c>
      <c r="G157" s="89" t="s">
        <v>584</v>
      </c>
      <c r="H157" s="90">
        <v>3104156267</v>
      </c>
      <c r="I157" s="91" t="s">
        <v>150</v>
      </c>
      <c r="J157" s="91" t="s">
        <v>604</v>
      </c>
      <c r="K157" s="91">
        <v>16796483</v>
      </c>
      <c r="L157" s="92"/>
      <c r="M157" s="92"/>
      <c r="N157" s="92"/>
      <c r="O157" s="92">
        <v>3</v>
      </c>
      <c r="P157" s="92">
        <v>7</v>
      </c>
      <c r="Q157" s="92">
        <v>0</v>
      </c>
      <c r="R157" s="92">
        <v>5</v>
      </c>
      <c r="S157" s="92">
        <v>8</v>
      </c>
      <c r="T157" s="92">
        <v>10</v>
      </c>
      <c r="U157" s="92">
        <v>5</v>
      </c>
      <c r="V157" s="92">
        <v>8</v>
      </c>
      <c r="W157" s="92">
        <v>5</v>
      </c>
      <c r="X157" s="92">
        <v>36</v>
      </c>
      <c r="Y157" s="123">
        <v>0</v>
      </c>
      <c r="Z157" s="123"/>
      <c r="AA157" s="85"/>
    </row>
    <row r="158" spans="2:27" x14ac:dyDescent="0.25">
      <c r="B158" s="89" t="s">
        <v>608</v>
      </c>
      <c r="C158" s="89">
        <f t="shared" si="2"/>
        <v>155</v>
      </c>
      <c r="D158" s="88" t="s">
        <v>49</v>
      </c>
      <c r="E158" s="88" t="s">
        <v>315</v>
      </c>
      <c r="F158" s="88" t="s">
        <v>347</v>
      </c>
      <c r="G158" s="89" t="s">
        <v>585</v>
      </c>
      <c r="H158" s="90">
        <v>3187914323</v>
      </c>
      <c r="I158" s="91" t="s">
        <v>150</v>
      </c>
      <c r="J158" s="91" t="s">
        <v>605</v>
      </c>
      <c r="K158" s="91">
        <v>94300252</v>
      </c>
      <c r="L158" s="92"/>
      <c r="M158" s="92"/>
      <c r="N158" s="92"/>
      <c r="O158" s="92">
        <v>21</v>
      </c>
      <c r="P158" s="92">
        <v>28</v>
      </c>
      <c r="Q158" s="92">
        <v>21</v>
      </c>
      <c r="R158" s="92">
        <v>6</v>
      </c>
      <c r="S158" s="92">
        <v>21</v>
      </c>
      <c r="T158" s="92">
        <v>56</v>
      </c>
      <c r="U158" s="92">
        <v>125</v>
      </c>
      <c r="V158" s="92">
        <v>68</v>
      </c>
      <c r="W158" s="92">
        <v>60</v>
      </c>
      <c r="X158" s="92">
        <v>135</v>
      </c>
      <c r="Y158" s="123">
        <v>135</v>
      </c>
      <c r="Z158" s="123"/>
      <c r="AA158" s="85"/>
    </row>
    <row r="159" spans="2:27" x14ac:dyDescent="0.25">
      <c r="B159" s="89" t="s">
        <v>608</v>
      </c>
      <c r="C159" s="89">
        <f t="shared" si="2"/>
        <v>156</v>
      </c>
      <c r="D159" s="88" t="s">
        <v>49</v>
      </c>
      <c r="E159" s="88" t="s">
        <v>315</v>
      </c>
      <c r="F159" s="88" t="s">
        <v>347</v>
      </c>
      <c r="G159" s="89" t="s">
        <v>586</v>
      </c>
      <c r="H159" s="90">
        <v>3153471142</v>
      </c>
      <c r="I159" s="91" t="s">
        <v>150</v>
      </c>
      <c r="J159" s="91" t="s">
        <v>267</v>
      </c>
      <c r="K159" s="91">
        <v>98391364</v>
      </c>
      <c r="L159" s="92"/>
      <c r="M159" s="92"/>
      <c r="N159" s="92"/>
      <c r="O159" s="92">
        <v>0</v>
      </c>
      <c r="P159" s="92">
        <v>0</v>
      </c>
      <c r="Q159" s="92">
        <v>0</v>
      </c>
      <c r="R159" s="92">
        <v>3</v>
      </c>
      <c r="S159" s="92">
        <v>5</v>
      </c>
      <c r="T159" s="92">
        <v>8</v>
      </c>
      <c r="U159" s="92">
        <v>3</v>
      </c>
      <c r="V159" s="92">
        <v>0</v>
      </c>
      <c r="W159" s="92">
        <v>12</v>
      </c>
      <c r="X159" s="92">
        <v>3</v>
      </c>
      <c r="Y159" s="123">
        <v>0</v>
      </c>
      <c r="Z159" s="123"/>
      <c r="AA159" s="85"/>
    </row>
    <row r="160" spans="2:27" x14ac:dyDescent="0.25">
      <c r="B160" s="89" t="s">
        <v>608</v>
      </c>
      <c r="C160" s="89">
        <f t="shared" si="2"/>
        <v>157</v>
      </c>
      <c r="D160" s="88" t="s">
        <v>49</v>
      </c>
      <c r="E160" s="88" t="s">
        <v>315</v>
      </c>
      <c r="F160" s="88" t="s">
        <v>347</v>
      </c>
      <c r="G160" s="89" t="s">
        <v>587</v>
      </c>
      <c r="H160" s="90">
        <v>3218729505</v>
      </c>
      <c r="I160" s="91" t="s">
        <v>150</v>
      </c>
      <c r="J160" s="91" t="s">
        <v>606</v>
      </c>
      <c r="K160" s="91">
        <v>1113522977</v>
      </c>
      <c r="L160" s="92"/>
      <c r="M160" s="92"/>
      <c r="N160" s="92"/>
      <c r="O160" s="92">
        <v>0</v>
      </c>
      <c r="P160" s="92">
        <v>0</v>
      </c>
      <c r="Q160" s="92">
        <v>21</v>
      </c>
      <c r="R160" s="92">
        <v>25</v>
      </c>
      <c r="S160" s="92">
        <v>23</v>
      </c>
      <c r="T160" s="92">
        <v>25</v>
      </c>
      <c r="U160" s="92">
        <v>0</v>
      </c>
      <c r="V160" s="92">
        <v>8</v>
      </c>
      <c r="W160" s="92">
        <v>15</v>
      </c>
      <c r="X160" s="92">
        <v>0</v>
      </c>
      <c r="Y160" s="123">
        <v>50</v>
      </c>
      <c r="Z160" s="123"/>
      <c r="AA160" s="85"/>
    </row>
    <row r="161" spans="2:27" x14ac:dyDescent="0.25">
      <c r="B161" s="89" t="s">
        <v>608</v>
      </c>
      <c r="C161" s="89">
        <f t="shared" si="2"/>
        <v>158</v>
      </c>
      <c r="D161" s="88" t="s">
        <v>212</v>
      </c>
      <c r="E161" s="88" t="s">
        <v>313</v>
      </c>
      <c r="F161" s="88" t="s">
        <v>310</v>
      </c>
      <c r="G161" s="89" t="s">
        <v>610</v>
      </c>
      <c r="H161" s="90">
        <v>2734001</v>
      </c>
      <c r="I161" s="91" t="s">
        <v>613</v>
      </c>
      <c r="J161" s="91" t="s">
        <v>615</v>
      </c>
      <c r="K161" s="91"/>
      <c r="L161" s="92"/>
      <c r="M161" s="92"/>
      <c r="N161" s="92">
        <v>60</v>
      </c>
      <c r="O161" s="92">
        <v>120</v>
      </c>
      <c r="P161" s="92">
        <v>216</v>
      </c>
      <c r="Q161" s="92">
        <v>240</v>
      </c>
      <c r="R161" s="92">
        <v>300</v>
      </c>
      <c r="S161" s="92">
        <v>360</v>
      </c>
      <c r="T161" s="92">
        <v>600</v>
      </c>
      <c r="U161" s="92">
        <v>360</v>
      </c>
      <c r="V161" s="92">
        <v>360</v>
      </c>
      <c r="W161" s="92">
        <v>348</v>
      </c>
      <c r="X161" s="92">
        <v>120</v>
      </c>
      <c r="Y161" s="123">
        <v>480</v>
      </c>
      <c r="Z161" s="123"/>
      <c r="AA161" s="85"/>
    </row>
    <row r="162" spans="2:27" x14ac:dyDescent="0.25">
      <c r="B162" s="89" t="s">
        <v>608</v>
      </c>
      <c r="C162" s="89">
        <f t="shared" si="2"/>
        <v>159</v>
      </c>
      <c r="D162" s="88" t="s">
        <v>621</v>
      </c>
      <c r="E162" s="88" t="s">
        <v>313</v>
      </c>
      <c r="F162" s="88" t="s">
        <v>310</v>
      </c>
      <c r="G162" s="89" t="s">
        <v>611</v>
      </c>
      <c r="H162" s="90">
        <v>2561280</v>
      </c>
      <c r="I162" s="91" t="s">
        <v>613</v>
      </c>
      <c r="J162" s="91" t="s">
        <v>616</v>
      </c>
      <c r="K162" s="91"/>
      <c r="L162" s="92"/>
      <c r="M162" s="92"/>
      <c r="N162" s="92">
        <v>12</v>
      </c>
      <c r="O162" s="92">
        <v>120</v>
      </c>
      <c r="P162" s="92">
        <v>120</v>
      </c>
      <c r="Q162" s="92">
        <v>180</v>
      </c>
      <c r="R162" s="92">
        <v>192</v>
      </c>
      <c r="S162" s="92">
        <v>240</v>
      </c>
      <c r="T162" s="92">
        <v>360</v>
      </c>
      <c r="U162" s="92">
        <v>276</v>
      </c>
      <c r="V162" s="92">
        <v>348</v>
      </c>
      <c r="W162" s="92">
        <v>288</v>
      </c>
      <c r="X162" s="92">
        <v>120</v>
      </c>
      <c r="Y162" s="123">
        <v>180</v>
      </c>
      <c r="Z162" s="123"/>
      <c r="AA162" s="85"/>
    </row>
    <row r="163" spans="2:27" x14ac:dyDescent="0.25">
      <c r="B163" s="89" t="s">
        <v>608</v>
      </c>
      <c r="C163" s="89">
        <f t="shared" si="2"/>
        <v>160</v>
      </c>
      <c r="D163" s="88" t="s">
        <v>622</v>
      </c>
      <c r="E163" s="88" t="s">
        <v>313</v>
      </c>
      <c r="F163" s="88" t="s">
        <v>310</v>
      </c>
      <c r="G163" s="89" t="s">
        <v>612</v>
      </c>
      <c r="H163" s="90">
        <v>2607952</v>
      </c>
      <c r="I163" s="91" t="s">
        <v>614</v>
      </c>
      <c r="J163" s="91" t="s">
        <v>617</v>
      </c>
      <c r="K163" s="91"/>
      <c r="L163" s="92"/>
      <c r="M163" s="92"/>
      <c r="N163" s="92"/>
      <c r="O163" s="92">
        <v>120</v>
      </c>
      <c r="P163" s="92">
        <v>180</v>
      </c>
      <c r="Q163" s="92">
        <v>300</v>
      </c>
      <c r="R163" s="92">
        <v>360</v>
      </c>
      <c r="S163" s="92">
        <v>420</v>
      </c>
      <c r="T163" s="92">
        <v>600</v>
      </c>
      <c r="U163" s="92">
        <v>420</v>
      </c>
      <c r="V163" s="92">
        <v>480</v>
      </c>
      <c r="W163" s="92">
        <v>540</v>
      </c>
      <c r="X163" s="92">
        <v>264</v>
      </c>
      <c r="Y163" s="123">
        <v>480</v>
      </c>
      <c r="Z163" s="123"/>
      <c r="AA163" s="85"/>
    </row>
    <row r="164" spans="2:27" x14ac:dyDescent="0.25">
      <c r="B164" s="89" t="s">
        <v>608</v>
      </c>
      <c r="C164" s="89">
        <f t="shared" si="2"/>
        <v>161</v>
      </c>
      <c r="D164" s="88" t="s">
        <v>37</v>
      </c>
      <c r="E164" s="88" t="s">
        <v>313</v>
      </c>
      <c r="F164" s="88" t="s">
        <v>314</v>
      </c>
      <c r="G164" s="89" t="s">
        <v>618</v>
      </c>
      <c r="H164" s="90" t="s">
        <v>619</v>
      </c>
      <c r="I164" s="91"/>
      <c r="J164" s="91" t="s">
        <v>620</v>
      </c>
      <c r="K164" s="91"/>
      <c r="L164" s="92"/>
      <c r="M164" s="92"/>
      <c r="N164" s="92"/>
      <c r="O164" s="92">
        <v>24</v>
      </c>
      <c r="P164" s="92">
        <v>24</v>
      </c>
      <c r="Q164" s="92">
        <v>24</v>
      </c>
      <c r="R164" s="92">
        <v>24</v>
      </c>
      <c r="S164" s="92">
        <v>21</v>
      </c>
      <c r="T164" s="92">
        <v>28</v>
      </c>
      <c r="U164" s="92">
        <v>24</v>
      </c>
      <c r="V164" s="92">
        <v>26</v>
      </c>
      <c r="W164" s="92">
        <v>24</v>
      </c>
      <c r="X164" s="92">
        <v>24</v>
      </c>
      <c r="Y164" s="123">
        <v>28</v>
      </c>
      <c r="Z164" s="123"/>
      <c r="AA164" s="85"/>
    </row>
    <row r="165" spans="2:27" x14ac:dyDescent="0.25">
      <c r="B165" s="89" t="s">
        <v>608</v>
      </c>
      <c r="C165" s="89">
        <f t="shared" si="2"/>
        <v>162</v>
      </c>
      <c r="D165" s="88" t="s">
        <v>37</v>
      </c>
      <c r="E165" s="88" t="s">
        <v>313</v>
      </c>
      <c r="F165" s="88" t="s">
        <v>314</v>
      </c>
      <c r="G165" s="89" t="s">
        <v>633</v>
      </c>
      <c r="H165" s="90" t="s">
        <v>636</v>
      </c>
      <c r="I165" s="91"/>
      <c r="J165" s="91" t="s">
        <v>635</v>
      </c>
      <c r="K165" s="91"/>
      <c r="L165" s="92"/>
      <c r="M165" s="92"/>
      <c r="N165" s="92"/>
      <c r="O165" s="92"/>
      <c r="P165" s="92"/>
      <c r="Q165" s="92"/>
      <c r="R165" s="92">
        <v>90</v>
      </c>
      <c r="S165" s="92">
        <v>114</v>
      </c>
      <c r="T165" s="92">
        <v>132</v>
      </c>
      <c r="U165" s="92">
        <v>120</v>
      </c>
      <c r="V165" s="92">
        <v>88</v>
      </c>
      <c r="W165" s="92">
        <v>96</v>
      </c>
      <c r="X165" s="92">
        <v>72</v>
      </c>
      <c r="Y165" s="123">
        <v>60</v>
      </c>
      <c r="Z165" s="123"/>
      <c r="AA165" s="85"/>
    </row>
    <row r="166" spans="2:27" x14ac:dyDescent="0.25">
      <c r="B166" s="45" t="s">
        <v>608</v>
      </c>
      <c r="C166" s="89">
        <f t="shared" si="2"/>
        <v>163</v>
      </c>
      <c r="D166" s="44" t="s">
        <v>37</v>
      </c>
      <c r="E166" s="44" t="s">
        <v>313</v>
      </c>
      <c r="F166" s="44" t="s">
        <v>314</v>
      </c>
      <c r="G166" s="45" t="s">
        <v>657</v>
      </c>
      <c r="H166" s="47"/>
      <c r="I166" s="48"/>
      <c r="J166" s="48"/>
      <c r="K166" s="48"/>
      <c r="L166" s="49"/>
      <c r="M166" s="49"/>
      <c r="N166" s="49"/>
      <c r="O166" s="49"/>
      <c r="P166" s="49"/>
      <c r="Q166" s="49"/>
      <c r="R166" s="49"/>
      <c r="S166" s="92">
        <v>84</v>
      </c>
      <c r="T166" s="92">
        <v>108</v>
      </c>
      <c r="U166" s="92">
        <v>84</v>
      </c>
      <c r="V166" s="92">
        <v>96</v>
      </c>
      <c r="W166" s="92">
        <v>72</v>
      </c>
      <c r="X166" s="92">
        <v>144</v>
      </c>
      <c r="Y166" s="123">
        <v>132</v>
      </c>
      <c r="Z166" s="123"/>
      <c r="AA166" s="92"/>
    </row>
    <row r="167" spans="2:27" x14ac:dyDescent="0.25">
      <c r="B167" s="89" t="s">
        <v>608</v>
      </c>
      <c r="C167" s="89">
        <f t="shared" si="2"/>
        <v>164</v>
      </c>
      <c r="D167" s="44" t="s">
        <v>658</v>
      </c>
      <c r="E167" s="44" t="s">
        <v>313</v>
      </c>
      <c r="F167" s="44" t="s">
        <v>317</v>
      </c>
      <c r="G167" s="45" t="s">
        <v>659</v>
      </c>
      <c r="H167" s="47">
        <v>3022880752</v>
      </c>
      <c r="I167" s="48"/>
      <c r="J167" s="48" t="s">
        <v>661</v>
      </c>
      <c r="K167" s="48"/>
      <c r="L167" s="49"/>
      <c r="M167" s="49"/>
      <c r="N167" s="49"/>
      <c r="O167" s="49"/>
      <c r="P167" s="49"/>
      <c r="Q167" s="49"/>
      <c r="R167" s="49"/>
      <c r="S167" s="92"/>
      <c r="T167" s="92">
        <v>60</v>
      </c>
      <c r="U167" s="92">
        <v>60</v>
      </c>
      <c r="V167" s="92">
        <v>45</v>
      </c>
      <c r="W167" s="92">
        <v>50</v>
      </c>
      <c r="X167" s="92">
        <v>20</v>
      </c>
      <c r="Y167" s="123">
        <v>24</v>
      </c>
      <c r="Z167" s="123"/>
      <c r="AA167" s="92"/>
    </row>
    <row r="168" spans="2:27" s="80" customFormat="1" x14ac:dyDescent="0.25">
      <c r="B168" s="89" t="s">
        <v>608</v>
      </c>
      <c r="C168" s="89">
        <f t="shared" si="2"/>
        <v>165</v>
      </c>
      <c r="D168" s="88" t="s">
        <v>191</v>
      </c>
      <c r="E168" s="88" t="s">
        <v>313</v>
      </c>
      <c r="F168" s="88" t="s">
        <v>317</v>
      </c>
      <c r="G168" s="89" t="s">
        <v>660</v>
      </c>
      <c r="H168" s="90">
        <v>3147628822</v>
      </c>
      <c r="I168" s="91"/>
      <c r="J168" s="91" t="s">
        <v>662</v>
      </c>
      <c r="K168" s="91"/>
      <c r="L168" s="92"/>
      <c r="M168" s="92"/>
      <c r="N168" s="92"/>
      <c r="O168" s="92"/>
      <c r="P168" s="92"/>
      <c r="Q168" s="92"/>
      <c r="R168" s="92"/>
      <c r="S168" s="92"/>
      <c r="T168" s="92">
        <v>60</v>
      </c>
      <c r="U168" s="92">
        <v>45</v>
      </c>
      <c r="V168" s="92">
        <v>40</v>
      </c>
      <c r="W168" s="92">
        <v>48</v>
      </c>
      <c r="X168" s="92">
        <v>50</v>
      </c>
      <c r="Y168" s="123">
        <v>45</v>
      </c>
      <c r="Z168" s="123"/>
      <c r="AA168" s="92"/>
    </row>
    <row r="169" spans="2:27" s="120" customFormat="1" x14ac:dyDescent="0.25">
      <c r="B169" s="89" t="s">
        <v>608</v>
      </c>
      <c r="C169" s="89">
        <f t="shared" si="2"/>
        <v>166</v>
      </c>
      <c r="D169" s="88" t="s">
        <v>49</v>
      </c>
      <c r="E169" s="88" t="s">
        <v>315</v>
      </c>
      <c r="F169" s="88" t="s">
        <v>347</v>
      </c>
      <c r="G169" s="89" t="s">
        <v>675</v>
      </c>
      <c r="H169" s="121">
        <v>4205905</v>
      </c>
      <c r="I169" s="122"/>
      <c r="J169" s="122" t="s">
        <v>690</v>
      </c>
      <c r="K169" s="122">
        <v>17673977</v>
      </c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>
        <v>0</v>
      </c>
      <c r="Y169" s="123">
        <v>0</v>
      </c>
      <c r="Z169" s="123"/>
      <c r="AA169" s="85" t="s">
        <v>707</v>
      </c>
    </row>
    <row r="170" spans="2:27" s="120" customFormat="1" x14ac:dyDescent="0.25">
      <c r="B170" s="89" t="s">
        <v>608</v>
      </c>
      <c r="C170" s="89">
        <f t="shared" si="2"/>
        <v>167</v>
      </c>
      <c r="D170" s="88" t="s">
        <v>49</v>
      </c>
      <c r="E170" s="88" t="s">
        <v>315</v>
      </c>
      <c r="F170" s="88" t="s">
        <v>347</v>
      </c>
      <c r="G170" s="89" t="s">
        <v>676</v>
      </c>
      <c r="H170" s="121">
        <v>3178187438</v>
      </c>
      <c r="I170" s="122"/>
      <c r="J170" s="122" t="s">
        <v>691</v>
      </c>
      <c r="K170" s="122">
        <v>16535715</v>
      </c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>
        <v>0</v>
      </c>
      <c r="Y170" s="123">
        <v>0</v>
      </c>
      <c r="Z170" s="123"/>
      <c r="AA170" s="85" t="s">
        <v>707</v>
      </c>
    </row>
    <row r="171" spans="2:27" s="120" customFormat="1" x14ac:dyDescent="0.25">
      <c r="B171" s="89" t="s">
        <v>608</v>
      </c>
      <c r="C171" s="89">
        <f t="shared" si="2"/>
        <v>168</v>
      </c>
      <c r="D171" s="88" t="s">
        <v>49</v>
      </c>
      <c r="E171" s="88" t="s">
        <v>315</v>
      </c>
      <c r="F171" s="88" t="s">
        <v>347</v>
      </c>
      <c r="G171" s="89" t="s">
        <v>677</v>
      </c>
      <c r="H171" s="121">
        <v>4412223</v>
      </c>
      <c r="I171" s="122"/>
      <c r="J171" s="122" t="s">
        <v>692</v>
      </c>
      <c r="K171" s="122">
        <v>94489212</v>
      </c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>
        <v>0</v>
      </c>
      <c r="Y171" s="123">
        <v>0</v>
      </c>
      <c r="Z171" s="123"/>
      <c r="AA171" s="85" t="s">
        <v>707</v>
      </c>
    </row>
    <row r="172" spans="2:27" s="120" customFormat="1" x14ac:dyDescent="0.25">
      <c r="B172" s="89" t="s">
        <v>608</v>
      </c>
      <c r="C172" s="89">
        <f t="shared" si="2"/>
        <v>169</v>
      </c>
      <c r="D172" s="88" t="s">
        <v>49</v>
      </c>
      <c r="E172" s="88" t="s">
        <v>315</v>
      </c>
      <c r="F172" s="88" t="s">
        <v>347</v>
      </c>
      <c r="G172" s="89" t="s">
        <v>678</v>
      </c>
      <c r="H172" s="121">
        <v>3480941</v>
      </c>
      <c r="I172" s="122"/>
      <c r="J172" s="122" t="s">
        <v>693</v>
      </c>
      <c r="K172" s="122">
        <v>1144097848</v>
      </c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>
        <v>5</v>
      </c>
      <c r="Y172" s="123">
        <v>0</v>
      </c>
      <c r="Z172" s="123"/>
      <c r="AA172" s="85" t="s">
        <v>707</v>
      </c>
    </row>
    <row r="173" spans="2:27" s="120" customFormat="1" x14ac:dyDescent="0.25">
      <c r="B173" s="89" t="s">
        <v>608</v>
      </c>
      <c r="C173" s="89">
        <f t="shared" si="2"/>
        <v>170</v>
      </c>
      <c r="D173" s="88" t="s">
        <v>49</v>
      </c>
      <c r="E173" s="88" t="s">
        <v>315</v>
      </c>
      <c r="F173" s="88" t="s">
        <v>347</v>
      </c>
      <c r="G173" s="89" t="s">
        <v>679</v>
      </c>
      <c r="H173" s="121">
        <v>8895541</v>
      </c>
      <c r="I173" s="122"/>
      <c r="J173" s="122" t="s">
        <v>694</v>
      </c>
      <c r="K173" s="122">
        <v>901295269</v>
      </c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>
        <v>0</v>
      </c>
      <c r="Y173" s="123">
        <v>10</v>
      </c>
      <c r="Z173" s="123"/>
      <c r="AA173" s="85" t="s">
        <v>707</v>
      </c>
    </row>
    <row r="174" spans="2:27" s="120" customFormat="1" x14ac:dyDescent="0.25">
      <c r="B174" s="89" t="s">
        <v>608</v>
      </c>
      <c r="C174" s="89">
        <f t="shared" si="2"/>
        <v>171</v>
      </c>
      <c r="D174" s="88" t="s">
        <v>49</v>
      </c>
      <c r="E174" s="88" t="s">
        <v>315</v>
      </c>
      <c r="F174" s="88" t="s">
        <v>347</v>
      </c>
      <c r="G174" s="89" t="s">
        <v>680</v>
      </c>
      <c r="H174" s="121">
        <v>3122232832</v>
      </c>
      <c r="I174" s="122"/>
      <c r="J174" s="122" t="s">
        <v>695</v>
      </c>
      <c r="K174" s="122">
        <v>70353049</v>
      </c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>
        <v>0</v>
      </c>
      <c r="Y174" s="123">
        <v>0</v>
      </c>
      <c r="Z174" s="123"/>
      <c r="AA174" s="85" t="s">
        <v>707</v>
      </c>
    </row>
    <row r="175" spans="2:27" s="120" customFormat="1" x14ac:dyDescent="0.25">
      <c r="B175" s="89" t="s">
        <v>608</v>
      </c>
      <c r="C175" s="89">
        <f t="shared" si="2"/>
        <v>172</v>
      </c>
      <c r="D175" s="88" t="s">
        <v>49</v>
      </c>
      <c r="E175" s="88" t="s">
        <v>315</v>
      </c>
      <c r="F175" s="88" t="s">
        <v>347</v>
      </c>
      <c r="G175" s="89" t="s">
        <v>681</v>
      </c>
      <c r="H175" s="121">
        <v>3167405422</v>
      </c>
      <c r="I175" s="122"/>
      <c r="J175" s="122" t="s">
        <v>696</v>
      </c>
      <c r="K175" s="122">
        <v>94486415</v>
      </c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>
        <v>0</v>
      </c>
      <c r="Y175" s="123">
        <v>0</v>
      </c>
      <c r="Z175" s="123"/>
      <c r="AA175" s="85" t="s">
        <v>707</v>
      </c>
    </row>
    <row r="176" spans="2:27" s="120" customFormat="1" x14ac:dyDescent="0.25">
      <c r="B176" s="89" t="s">
        <v>608</v>
      </c>
      <c r="C176" s="89">
        <f t="shared" si="2"/>
        <v>173</v>
      </c>
      <c r="D176" s="88" t="s">
        <v>49</v>
      </c>
      <c r="E176" s="88" t="s">
        <v>315</v>
      </c>
      <c r="F176" s="88" t="s">
        <v>347</v>
      </c>
      <c r="G176" s="89" t="s">
        <v>682</v>
      </c>
      <c r="H176" s="121">
        <v>3238702</v>
      </c>
      <c r="I176" s="122"/>
      <c r="J176" s="122" t="s">
        <v>697</v>
      </c>
      <c r="K176" s="122">
        <v>16738410</v>
      </c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>
        <v>0</v>
      </c>
      <c r="Y176" s="123">
        <v>0</v>
      </c>
      <c r="Z176" s="123"/>
      <c r="AA176" s="85" t="s">
        <v>707</v>
      </c>
    </row>
    <row r="177" spans="2:27" s="120" customFormat="1" x14ac:dyDescent="0.25">
      <c r="B177" s="89" t="s">
        <v>608</v>
      </c>
      <c r="C177" s="89">
        <f t="shared" si="2"/>
        <v>174</v>
      </c>
      <c r="D177" s="88" t="s">
        <v>49</v>
      </c>
      <c r="E177" s="88" t="s">
        <v>315</v>
      </c>
      <c r="F177" s="88" t="s">
        <v>347</v>
      </c>
      <c r="G177" s="89" t="s">
        <v>683</v>
      </c>
      <c r="H177" s="121">
        <v>3073246</v>
      </c>
      <c r="I177" s="122"/>
      <c r="J177" s="122" t="s">
        <v>698</v>
      </c>
      <c r="K177" s="122">
        <v>94251074</v>
      </c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>
        <v>0</v>
      </c>
      <c r="Y177" s="123">
        <v>0</v>
      </c>
      <c r="Z177" s="123"/>
      <c r="AA177" s="85" t="s">
        <v>707</v>
      </c>
    </row>
    <row r="178" spans="2:27" s="120" customFormat="1" x14ac:dyDescent="0.25">
      <c r="B178" s="89" t="s">
        <v>608</v>
      </c>
      <c r="C178" s="89">
        <f t="shared" si="2"/>
        <v>175</v>
      </c>
      <c r="D178" s="88" t="s">
        <v>49</v>
      </c>
      <c r="E178" s="88" t="s">
        <v>315</v>
      </c>
      <c r="F178" s="88" t="s">
        <v>347</v>
      </c>
      <c r="G178" s="89" t="s">
        <v>684</v>
      </c>
      <c r="H178" s="121">
        <v>3174386915</v>
      </c>
      <c r="I178" s="122"/>
      <c r="J178" s="122" t="s">
        <v>699</v>
      </c>
      <c r="K178" s="122">
        <v>1130676973</v>
      </c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>
        <v>0</v>
      </c>
      <c r="Y178" s="123">
        <v>0</v>
      </c>
      <c r="Z178" s="123"/>
      <c r="AA178" s="85" t="s">
        <v>707</v>
      </c>
    </row>
    <row r="179" spans="2:27" s="120" customFormat="1" x14ac:dyDescent="0.25">
      <c r="B179" s="89" t="s">
        <v>608</v>
      </c>
      <c r="C179" s="89">
        <f t="shared" si="2"/>
        <v>176</v>
      </c>
      <c r="D179" s="88" t="s">
        <v>49</v>
      </c>
      <c r="E179" s="88" t="s">
        <v>315</v>
      </c>
      <c r="F179" s="88" t="s">
        <v>347</v>
      </c>
      <c r="G179" s="89" t="s">
        <v>685</v>
      </c>
      <c r="H179" s="121">
        <v>3104254005</v>
      </c>
      <c r="I179" s="122"/>
      <c r="J179" s="122" t="s">
        <v>700</v>
      </c>
      <c r="K179" s="122">
        <v>48570066</v>
      </c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>
        <v>0</v>
      </c>
      <c r="Y179" s="123">
        <v>0</v>
      </c>
      <c r="Z179" s="123"/>
      <c r="AA179" s="85" t="s">
        <v>707</v>
      </c>
    </row>
    <row r="180" spans="2:27" s="120" customFormat="1" x14ac:dyDescent="0.25">
      <c r="B180" s="89" t="s">
        <v>608</v>
      </c>
      <c r="C180" s="89">
        <f t="shared" si="2"/>
        <v>177</v>
      </c>
      <c r="D180" s="88" t="s">
        <v>49</v>
      </c>
      <c r="E180" s="88" t="s">
        <v>315</v>
      </c>
      <c r="F180" s="88" t="s">
        <v>347</v>
      </c>
      <c r="G180" s="89" t="s">
        <v>686</v>
      </c>
      <c r="H180" s="121">
        <v>3005082848</v>
      </c>
      <c r="I180" s="122"/>
      <c r="J180" s="122" t="s">
        <v>701</v>
      </c>
      <c r="K180" s="122">
        <v>94064783</v>
      </c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>
        <v>0</v>
      </c>
      <c r="Y180" s="123">
        <v>0</v>
      </c>
      <c r="Z180" s="123"/>
      <c r="AA180" s="85" t="s">
        <v>707</v>
      </c>
    </row>
    <row r="181" spans="2:27" s="120" customFormat="1" x14ac:dyDescent="0.25">
      <c r="B181" s="89" t="s">
        <v>608</v>
      </c>
      <c r="C181" s="89">
        <f t="shared" si="2"/>
        <v>178</v>
      </c>
      <c r="D181" s="88" t="s">
        <v>49</v>
      </c>
      <c r="E181" s="88" t="s">
        <v>315</v>
      </c>
      <c r="F181" s="88" t="s">
        <v>347</v>
      </c>
      <c r="G181" s="89" t="s">
        <v>687</v>
      </c>
      <c r="H181" s="121">
        <v>3116092604</v>
      </c>
      <c r="I181" s="122"/>
      <c r="J181" s="122" t="s">
        <v>702</v>
      </c>
      <c r="K181" s="122">
        <v>94453297</v>
      </c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>
        <v>0</v>
      </c>
      <c r="Y181" s="123">
        <v>0</v>
      </c>
      <c r="Z181" s="123"/>
      <c r="AA181" s="85" t="s">
        <v>707</v>
      </c>
    </row>
    <row r="182" spans="2:27" s="120" customFormat="1" x14ac:dyDescent="0.25">
      <c r="B182" s="89" t="s">
        <v>608</v>
      </c>
      <c r="C182" s="89">
        <f t="shared" si="2"/>
        <v>179</v>
      </c>
      <c r="D182" s="88" t="s">
        <v>49</v>
      </c>
      <c r="E182" s="88" t="s">
        <v>315</v>
      </c>
      <c r="F182" s="88" t="s">
        <v>347</v>
      </c>
      <c r="G182" s="89" t="s">
        <v>688</v>
      </c>
      <c r="H182" s="121">
        <v>3182222546</v>
      </c>
      <c r="I182" s="122"/>
      <c r="J182" s="122" t="s">
        <v>703</v>
      </c>
      <c r="K182" s="122">
        <v>66914653</v>
      </c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>
        <v>0</v>
      </c>
      <c r="Y182" s="123">
        <v>0</v>
      </c>
      <c r="Z182" s="123"/>
      <c r="AA182" s="85" t="s">
        <v>707</v>
      </c>
    </row>
    <row r="183" spans="2:27" s="120" customFormat="1" x14ac:dyDescent="0.25">
      <c r="B183" s="89" t="s">
        <v>608</v>
      </c>
      <c r="C183" s="89">
        <f t="shared" si="2"/>
        <v>180</v>
      </c>
      <c r="D183" s="88" t="s">
        <v>49</v>
      </c>
      <c r="E183" s="88" t="s">
        <v>315</v>
      </c>
      <c r="F183" s="88" t="s">
        <v>347</v>
      </c>
      <c r="G183" s="89" t="s">
        <v>689</v>
      </c>
      <c r="H183" s="121">
        <v>3206540970</v>
      </c>
      <c r="I183" s="122"/>
      <c r="J183" s="122" t="s">
        <v>704</v>
      </c>
      <c r="K183" s="122">
        <v>40772818</v>
      </c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>
        <v>90</v>
      </c>
      <c r="Y183" s="123">
        <v>90</v>
      </c>
      <c r="Z183" s="123"/>
      <c r="AA183" s="85" t="s">
        <v>707</v>
      </c>
    </row>
    <row r="184" spans="2:27" x14ac:dyDescent="0.25">
      <c r="B184" s="45" t="s">
        <v>608</v>
      </c>
      <c r="C184" s="89">
        <f t="shared" si="2"/>
        <v>181</v>
      </c>
      <c r="D184" s="44" t="s">
        <v>32</v>
      </c>
      <c r="E184" s="44" t="s">
        <v>309</v>
      </c>
      <c r="F184" s="44" t="s">
        <v>314</v>
      </c>
      <c r="G184" s="45" t="s">
        <v>708</v>
      </c>
      <c r="H184" s="47">
        <v>3216605343</v>
      </c>
      <c r="I184" s="48"/>
      <c r="J184" s="48" t="s">
        <v>709</v>
      </c>
      <c r="K184" s="48"/>
      <c r="L184" s="49"/>
      <c r="M184" s="49"/>
      <c r="N184" s="49"/>
      <c r="O184" s="49"/>
      <c r="P184" s="49"/>
      <c r="Q184" s="49"/>
      <c r="R184" s="49"/>
      <c r="S184" s="92"/>
      <c r="T184" s="92"/>
      <c r="U184" s="92"/>
      <c r="V184" s="92"/>
      <c r="W184" s="92"/>
      <c r="X184" s="92"/>
      <c r="Y184" s="123"/>
      <c r="Z184" s="123"/>
      <c r="AA184" s="85" t="s">
        <v>707</v>
      </c>
    </row>
    <row r="185" spans="2:27" x14ac:dyDescent="0.25">
      <c r="B185" s="45"/>
      <c r="C185" s="45"/>
      <c r="D185" s="44"/>
      <c r="E185" s="44"/>
      <c r="F185" s="44"/>
      <c r="G185" s="45"/>
      <c r="H185" s="47"/>
      <c r="I185" s="48"/>
      <c r="J185" s="48"/>
      <c r="K185" s="48"/>
      <c r="L185" s="49"/>
      <c r="M185" s="49"/>
      <c r="N185" s="49"/>
      <c r="O185" s="49"/>
      <c r="P185" s="49"/>
      <c r="Q185" s="49"/>
      <c r="R185" s="49"/>
      <c r="S185" s="92"/>
      <c r="T185" s="92"/>
      <c r="U185" s="92"/>
      <c r="V185" s="92"/>
      <c r="W185" s="92"/>
      <c r="X185" s="92"/>
      <c r="Y185" s="123"/>
      <c r="Z185" s="123"/>
      <c r="AA185" s="92"/>
    </row>
    <row r="186" spans="2:27" ht="15.75" thickBot="1" x14ac:dyDescent="0.3">
      <c r="B186" s="57"/>
      <c r="C186" s="57"/>
      <c r="D186" s="58"/>
      <c r="E186" s="58"/>
      <c r="F186" s="58"/>
      <c r="G186" s="57"/>
      <c r="H186" s="59"/>
      <c r="I186" s="60"/>
      <c r="J186" s="60"/>
      <c r="K186" s="60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</row>
    <row r="187" spans="2:27" hidden="1" x14ac:dyDescent="0.25">
      <c r="B187" s="51"/>
      <c r="C187" s="52"/>
      <c r="D187" s="52"/>
      <c r="E187" s="52"/>
      <c r="F187" s="51"/>
      <c r="G187" s="53"/>
      <c r="H187" s="23"/>
      <c r="I187" s="23"/>
      <c r="J187" s="23"/>
      <c r="K187" s="54"/>
      <c r="L187" s="54"/>
      <c r="M187" s="54"/>
      <c r="N187" s="54"/>
      <c r="O187" s="54"/>
      <c r="P187" s="54"/>
      <c r="Q187" s="54"/>
      <c r="V187" s="62"/>
    </row>
    <row r="188" spans="2:27" hidden="1" x14ac:dyDescent="0.25">
      <c r="V188" s="62"/>
    </row>
    <row r="189" spans="2:27" x14ac:dyDescent="0.25">
      <c r="V189" s="62"/>
    </row>
    <row r="190" spans="2:27" x14ac:dyDescent="0.25">
      <c r="V190" s="62"/>
    </row>
    <row r="191" spans="2:27" x14ac:dyDescent="0.25">
      <c r="V191" s="62"/>
    </row>
    <row r="192" spans="2:27" x14ac:dyDescent="0.25">
      <c r="V192" s="62"/>
    </row>
    <row r="193" spans="22:22" x14ac:dyDescent="0.25">
      <c r="V193" s="62"/>
    </row>
    <row r="194" spans="22:22" x14ac:dyDescent="0.25">
      <c r="V194" s="62"/>
    </row>
    <row r="195" spans="22:22" x14ac:dyDescent="0.25">
      <c r="V195" s="62"/>
    </row>
    <row r="196" spans="22:22" x14ac:dyDescent="0.25">
      <c r="V196" s="62"/>
    </row>
    <row r="197" spans="22:22" x14ac:dyDescent="0.25">
      <c r="V197" s="62"/>
    </row>
    <row r="198" spans="22:22" x14ac:dyDescent="0.25">
      <c r="V198" s="62"/>
    </row>
    <row r="199" spans="22:22" x14ac:dyDescent="0.25">
      <c r="V199" s="62"/>
    </row>
    <row r="200" spans="22:22" x14ac:dyDescent="0.25">
      <c r="V200" s="62"/>
    </row>
    <row r="201" spans="22:22" x14ac:dyDescent="0.25">
      <c r="V201" s="62"/>
    </row>
  </sheetData>
  <autoFilter ref="B3:X184" xr:uid="{D612317C-5980-432F-9015-1E32D2EB8B44}">
    <filterColumn colId="0">
      <filters>
        <filter val="SI"/>
      </filters>
    </filterColumn>
  </autoFilter>
  <mergeCells count="1">
    <mergeCell ref="B2:AA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25"/>
  <sheetViews>
    <sheetView topLeftCell="B2" workbookViewId="0">
      <selection activeCell="V5" sqref="V5"/>
    </sheetView>
  </sheetViews>
  <sheetFormatPr baseColWidth="10" defaultRowHeight="15" x14ac:dyDescent="0.25"/>
  <cols>
    <col min="1" max="1" width="3" style="1" customWidth="1"/>
    <col min="2" max="2" width="14.5703125" style="1" customWidth="1"/>
    <col min="3" max="3" width="17.140625" style="1" bestFit="1" customWidth="1"/>
    <col min="4" max="4" width="14.5703125" style="1" customWidth="1"/>
    <col min="5" max="5" width="11.42578125" style="1" customWidth="1"/>
    <col min="6" max="6" width="15.140625" style="1" bestFit="1" customWidth="1"/>
    <col min="7" max="7" width="9" style="1" bestFit="1" customWidth="1"/>
    <col min="8" max="14" width="12.42578125" style="1" hidden="1" customWidth="1"/>
    <col min="15" max="15" width="12.42578125" style="80" bestFit="1" customWidth="1"/>
    <col min="16" max="16" width="12.42578125" style="1" bestFit="1" customWidth="1"/>
    <col min="17" max="22" width="13.42578125" style="1" bestFit="1" customWidth="1"/>
    <col min="23" max="16384" width="11.42578125" style="1"/>
  </cols>
  <sheetData>
    <row r="2" spans="2:22" ht="15.75" thickBot="1" x14ac:dyDescent="0.3">
      <c r="B2" s="1" t="s">
        <v>567</v>
      </c>
    </row>
    <row r="3" spans="2:22" ht="15.75" thickBot="1" x14ac:dyDescent="0.3">
      <c r="B3" s="127" t="s">
        <v>327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</row>
    <row r="4" spans="2:22" ht="15.75" thickBot="1" x14ac:dyDescent="0.3">
      <c r="B4" s="15" t="s">
        <v>337</v>
      </c>
      <c r="C4" s="15" t="s">
        <v>307</v>
      </c>
      <c r="D4" s="15" t="s">
        <v>346</v>
      </c>
      <c r="E4" s="15" t="s">
        <v>329</v>
      </c>
      <c r="F4" s="16" t="s">
        <v>306</v>
      </c>
      <c r="G4" s="16" t="s">
        <v>330</v>
      </c>
      <c r="H4" s="50" t="s">
        <v>641</v>
      </c>
      <c r="I4" s="50" t="s">
        <v>642</v>
      </c>
      <c r="J4" s="50" t="s">
        <v>643</v>
      </c>
      <c r="K4" s="50" t="s">
        <v>644</v>
      </c>
      <c r="L4" s="50" t="s">
        <v>645</v>
      </c>
      <c r="M4" s="50" t="s">
        <v>646</v>
      </c>
      <c r="N4" s="50" t="s">
        <v>647</v>
      </c>
      <c r="O4" s="50" t="s">
        <v>648</v>
      </c>
      <c r="P4" s="50" t="s">
        <v>663</v>
      </c>
      <c r="Q4" s="50" t="s">
        <v>666</v>
      </c>
      <c r="R4" s="50" t="s">
        <v>669</v>
      </c>
      <c r="S4" s="50" t="s">
        <v>672</v>
      </c>
      <c r="T4" s="124" t="s">
        <v>705</v>
      </c>
      <c r="U4" s="124" t="s">
        <v>711</v>
      </c>
      <c r="V4" s="124" t="s">
        <v>713</v>
      </c>
    </row>
    <row r="5" spans="2:22" x14ac:dyDescent="0.25">
      <c r="B5" s="10" t="s">
        <v>334</v>
      </c>
      <c r="C5" s="10" t="s">
        <v>347</v>
      </c>
      <c r="D5" s="10">
        <v>3223929958</v>
      </c>
      <c r="E5" s="10" t="s">
        <v>8</v>
      </c>
      <c r="F5" s="13" t="s">
        <v>308</v>
      </c>
      <c r="G5" s="14">
        <v>4</v>
      </c>
      <c r="H5" s="11"/>
      <c r="I5" s="14">
        <f>+Ruta!M7+Ruta!M8+Ruta!M9</f>
        <v>273</v>
      </c>
      <c r="J5" s="14">
        <f>+Ruta!N7+Ruta!N8+Ruta!N9</f>
        <v>0</v>
      </c>
      <c r="K5" s="14">
        <f>+Ruta!O7+Ruta!O8+Ruta!O9</f>
        <v>0</v>
      </c>
      <c r="L5" s="14">
        <f>+Ruta!P7+Ruta!P8+Ruta!P9</f>
        <v>0</v>
      </c>
      <c r="M5" s="14">
        <f>+Ruta!Q7+Ruta!Q8+Ruta!Q9</f>
        <v>0</v>
      </c>
      <c r="N5" s="14">
        <f>+Ruta!R7+Ruta!R8+Ruta!R9</f>
        <v>0</v>
      </c>
      <c r="O5" s="14">
        <f>+Ruta!S7+Ruta!S8+Ruta!S9</f>
        <v>0</v>
      </c>
      <c r="P5" s="14">
        <f>+Ruta!T7+Ruta!T8+Ruta!T9</f>
        <v>0</v>
      </c>
      <c r="Q5" s="14">
        <f>+Ruta!U7+Ruta!U8+Ruta!U9</f>
        <v>0</v>
      </c>
      <c r="R5" s="14">
        <f>+Ruta!V7+Ruta!V8+Ruta!V9</f>
        <v>0</v>
      </c>
      <c r="S5" s="14">
        <f>+Ruta!W7+Ruta!W8+Ruta!W9</f>
        <v>0</v>
      </c>
      <c r="T5" s="14">
        <f>+Ruta!X7+Ruta!X8+Ruta!X9</f>
        <v>0</v>
      </c>
      <c r="U5" s="14">
        <f>+Ruta!Y7+Ruta!Y8+Ruta!Y9</f>
        <v>0</v>
      </c>
      <c r="V5" s="14">
        <f>+Ruta!AA7+Ruta!AA8+Ruta!AA9</f>
        <v>0</v>
      </c>
    </row>
    <row r="6" spans="2:22" x14ac:dyDescent="0.25">
      <c r="B6" s="10" t="s">
        <v>335</v>
      </c>
      <c r="C6" s="10" t="s">
        <v>311</v>
      </c>
      <c r="D6" s="10">
        <v>3234918326</v>
      </c>
      <c r="E6" s="10" t="s">
        <v>49</v>
      </c>
      <c r="F6" s="13" t="s">
        <v>331</v>
      </c>
      <c r="G6" s="14">
        <v>13</v>
      </c>
      <c r="H6" s="11">
        <v>2916</v>
      </c>
      <c r="I6" s="14">
        <f>+Ruta!M10+Ruta!M11+Ruta!M12+Ruta!M13+Ruta!M14+Ruta!M15+Ruta!M16+Ruta!M17+Ruta!M18+Ruta!M19+Ruta!M20</f>
        <v>5292</v>
      </c>
      <c r="J6" s="14">
        <f>+Ruta!N10+Ruta!N11+Ruta!N12+Ruta!N13+Ruta!N14+Ruta!N15+Ruta!N16+Ruta!N17+Ruta!N18+Ruta!N19+Ruta!N20</f>
        <v>5448</v>
      </c>
      <c r="K6" s="14">
        <f>+Ruta!O10+Ruta!O11+Ruta!O12+Ruta!O13+Ruta!O14+Ruta!O15+Ruta!O16+Ruta!O17+Ruta!O18+Ruta!O19+Ruta!O20</f>
        <v>12900</v>
      </c>
      <c r="L6" s="14">
        <f>+Ruta!P10+Ruta!P11+Ruta!P12+Ruta!P13+Ruta!P14+Ruta!P15+Ruta!P16+Ruta!P17+Ruta!P18+Ruta!P19+Ruta!P20</f>
        <v>12060</v>
      </c>
      <c r="M6" s="14">
        <f>+Ruta!Q10+Ruta!Q11+Ruta!Q12+Ruta!Q13+Ruta!Q14+Ruta!Q15+Ruta!Q16+Ruta!Q17+Ruta!Q18+Ruta!Q19+Ruta!Q20</f>
        <v>11184</v>
      </c>
      <c r="N6" s="14">
        <f>+Ruta!R10+Ruta!R11+Ruta!R12+Ruta!R13+Ruta!R14+Ruta!R15+Ruta!R16+Ruta!R17+Ruta!R18+Ruta!R19+Ruta!R20</f>
        <v>12420</v>
      </c>
      <c r="O6" s="14">
        <f>+Ruta!S10+Ruta!S11+Ruta!S12+Ruta!S13+Ruta!S14+Ruta!S15+Ruta!S16+Ruta!S17+Ruta!S18+Ruta!S19+Ruta!S20</f>
        <v>12264</v>
      </c>
      <c r="P6" s="14">
        <f>+Ruta!T10+Ruta!T11+Ruta!T12+Ruta!T13+Ruta!T14+Ruta!T15+Ruta!T16+Ruta!T17+Ruta!T18+Ruta!T19+Ruta!T20</f>
        <v>11904</v>
      </c>
      <c r="Q6" s="14">
        <f>+Ruta!U10+Ruta!U11+Ruta!U12+Ruta!U13+Ruta!U14+Ruta!U15+Ruta!U16+Ruta!U17+Ruta!U18+Ruta!U19+Ruta!U20</f>
        <v>15900</v>
      </c>
      <c r="R6" s="14">
        <f>+Ruta!V10+Ruta!V11+Ruta!V12+Ruta!V13+Ruta!V14+Ruta!V15+Ruta!V16+Ruta!V17+Ruta!V18+Ruta!V19+Ruta!V20</f>
        <v>14820</v>
      </c>
      <c r="S6" s="14">
        <f>+Ruta!W10+Ruta!W11+Ruta!W12+Ruta!W13+Ruta!W14+Ruta!W15+Ruta!W16+Ruta!W17+Ruta!W18+Ruta!W19+Ruta!W20</f>
        <v>6312</v>
      </c>
      <c r="T6" s="14">
        <f>+Ruta!X10+Ruta!X11+Ruta!X12+Ruta!X13+Ruta!X14+Ruta!X15+Ruta!X16+Ruta!X17+Ruta!X18+Ruta!X19+Ruta!X20</f>
        <v>11964</v>
      </c>
      <c r="U6" s="14">
        <f>+Ruta!Y10+Ruta!Y11+Ruta!Y12+Ruta!Y13+Ruta!Y14+Ruta!Y15+Ruta!Y16+Ruta!Y17+Ruta!Y18+Ruta!Y19+Ruta!Y20</f>
        <v>15180</v>
      </c>
      <c r="V6" s="14">
        <f>+Ruta!AA10+Ruta!AA11+Ruta!AA12+Ruta!AA13+Ruta!AA14+Ruta!AA15+Ruta!AA16+Ruta!AA17+Ruta!AA18+Ruta!AA19+Ruta!AA20</f>
        <v>0</v>
      </c>
    </row>
    <row r="7" spans="2:22" x14ac:dyDescent="0.25">
      <c r="B7" s="10" t="s">
        <v>336</v>
      </c>
      <c r="C7" s="10" t="s">
        <v>348</v>
      </c>
      <c r="D7" s="10">
        <v>3152536672</v>
      </c>
      <c r="E7" s="10" t="s">
        <v>332</v>
      </c>
      <c r="F7" s="13" t="s">
        <v>333</v>
      </c>
      <c r="G7" s="14">
        <v>2</v>
      </c>
      <c r="H7" s="11">
        <v>204</v>
      </c>
      <c r="I7" s="14">
        <f>+Ruta!M21+Ruta!M22</f>
        <v>720</v>
      </c>
      <c r="J7" s="14">
        <f>+Ruta!N21+Ruta!N22</f>
        <v>912</v>
      </c>
      <c r="K7" s="14">
        <f>+Ruta!O21+Ruta!O22</f>
        <v>2724</v>
      </c>
      <c r="L7" s="14">
        <f>+Ruta!P21+Ruta!P22</f>
        <v>3000</v>
      </c>
      <c r="M7" s="14">
        <f>+Ruta!Q21+Ruta!Q22</f>
        <v>2580</v>
      </c>
      <c r="N7" s="14">
        <f>+Ruta!R21+Ruta!R22</f>
        <v>2568</v>
      </c>
      <c r="O7" s="14">
        <f>+Ruta!S21+Ruta!S22</f>
        <v>4380</v>
      </c>
      <c r="P7" s="14">
        <f>+Ruta!T21+Ruta!T22</f>
        <v>3240</v>
      </c>
      <c r="Q7" s="14">
        <f>+Ruta!U21+Ruta!U22</f>
        <v>3660</v>
      </c>
      <c r="R7" s="14">
        <f>+Ruta!V21+Ruta!V22</f>
        <v>2880</v>
      </c>
      <c r="S7" s="14">
        <f>+Ruta!W21+Ruta!W22</f>
        <v>804</v>
      </c>
      <c r="T7" s="14">
        <f>+Ruta!X21+Ruta!X22</f>
        <v>2580</v>
      </c>
      <c r="U7" s="14">
        <f>+Ruta!Y21+Ruta!Y22</f>
        <v>2580</v>
      </c>
      <c r="V7" s="14">
        <f>+Ruta!AA21+Ruta!AA22</f>
        <v>0</v>
      </c>
    </row>
    <row r="8" spans="2:22" x14ac:dyDescent="0.25">
      <c r="B8" s="10" t="s">
        <v>338</v>
      </c>
      <c r="C8" s="10" t="s">
        <v>317</v>
      </c>
      <c r="D8" s="10">
        <v>3147936241</v>
      </c>
      <c r="E8" s="10" t="s">
        <v>339</v>
      </c>
      <c r="F8" s="13" t="s">
        <v>309</v>
      </c>
      <c r="G8" s="14">
        <v>2</v>
      </c>
      <c r="H8" s="11">
        <v>46</v>
      </c>
      <c r="I8" s="14">
        <f>+Ruta!M117+Ruta!M120</f>
        <v>58</v>
      </c>
      <c r="J8" s="14">
        <f>+Ruta!N117+Ruta!N120</f>
        <v>65</v>
      </c>
      <c r="K8" s="14">
        <f>+Ruta!O117+Ruta!O120</f>
        <v>46</v>
      </c>
      <c r="L8" s="14">
        <f>+Ruta!P117+Ruta!P120</f>
        <v>60</v>
      </c>
      <c r="M8" s="14">
        <f>+Ruta!Q117+Ruta!Q120</f>
        <v>80</v>
      </c>
      <c r="N8" s="14">
        <f>+Ruta!R117+Ruta!R120</f>
        <v>73</v>
      </c>
      <c r="O8" s="14">
        <f>+Ruta!S117+Ruta!S120</f>
        <v>92</v>
      </c>
      <c r="P8" s="14">
        <f>+Ruta!T117+Ruta!T120</f>
        <v>145</v>
      </c>
      <c r="Q8" s="14">
        <f>+Ruta!U117+Ruta!U120</f>
        <v>100</v>
      </c>
      <c r="R8" s="14">
        <f>+Ruta!V117+Ruta!V120</f>
        <v>96</v>
      </c>
      <c r="S8" s="14">
        <f>+Ruta!W117+Ruta!W120</f>
        <v>90</v>
      </c>
      <c r="T8" s="14">
        <f>+Ruta!X117+Ruta!X120</f>
        <v>80</v>
      </c>
      <c r="U8" s="14">
        <f>+Ruta!Y117+Ruta!Y120</f>
        <v>80</v>
      </c>
      <c r="V8" s="14">
        <f>+Ruta!AA117+Ruta!AA120</f>
        <v>0</v>
      </c>
    </row>
    <row r="9" spans="2:22" x14ac:dyDescent="0.25">
      <c r="B9" s="10" t="s">
        <v>338</v>
      </c>
      <c r="C9" s="10" t="s">
        <v>317</v>
      </c>
      <c r="D9" s="10">
        <v>3147936241</v>
      </c>
      <c r="E9" s="10" t="s">
        <v>339</v>
      </c>
      <c r="F9" s="13" t="s">
        <v>318</v>
      </c>
      <c r="G9" s="14">
        <v>8</v>
      </c>
      <c r="H9" s="11">
        <v>410</v>
      </c>
      <c r="I9" s="14">
        <f>+Ruta!M114+Ruta!M115+Ruta!M116+Ruta!M118+Ruta!M119+Ruta!M121</f>
        <v>423</v>
      </c>
      <c r="J9" s="14">
        <f>+Ruta!N114+Ruta!N115+Ruta!N116+Ruta!N118+Ruta!N119+Ruta!N121</f>
        <v>506</v>
      </c>
      <c r="K9" s="14">
        <f>+Ruta!O114+Ruta!O115+Ruta!O116+Ruta!O118+Ruta!O119+Ruta!O121</f>
        <v>489</v>
      </c>
      <c r="L9" s="14">
        <f>+Ruta!P114+Ruta!P115+Ruta!P116+Ruta!P118+Ruta!P119+Ruta!P121</f>
        <v>642</v>
      </c>
      <c r="M9" s="14">
        <f>+Ruta!Q114+Ruta!Q115+Ruta!Q116+Ruta!Q118+Ruta!Q119+Ruta!Q121</f>
        <v>815</v>
      </c>
      <c r="N9" s="14">
        <f>+Ruta!R114+Ruta!R115+Ruta!R116+Ruta!R118+Ruta!R119+Ruta!R121</f>
        <v>635</v>
      </c>
      <c r="O9" s="14">
        <f>+Ruta!S114+Ruta!S115+Ruta!S116+Ruta!S118+Ruta!S119+Ruta!S121</f>
        <v>1042</v>
      </c>
      <c r="P9" s="14">
        <f>+Ruta!T114+Ruta!T115+Ruta!T116+Ruta!T118+Ruta!T119+Ruta!T121+Ruta!T167+Ruta!T168</f>
        <v>1556</v>
      </c>
      <c r="Q9" s="14">
        <f>+Ruta!U114+Ruta!U115+Ruta!U116+Ruta!U118+Ruta!U119+Ruta!U121+Ruta!U167+Ruta!U168</f>
        <v>1090</v>
      </c>
      <c r="R9" s="14">
        <f>+Ruta!V114+Ruta!V115+Ruta!V116+Ruta!V118+Ruta!V119+Ruta!V121+Ruta!V167+Ruta!V168</f>
        <v>1055</v>
      </c>
      <c r="S9" s="14">
        <f>+Ruta!W114+Ruta!W115+Ruta!W116+Ruta!W118+Ruta!W119+Ruta!W121+Ruta!W167+Ruta!W168</f>
        <v>1158</v>
      </c>
      <c r="T9" s="14">
        <f>+Ruta!X114+Ruta!X115+Ruta!X116+Ruta!X118+Ruta!X119+Ruta!X121+Ruta!X167+Ruta!X168</f>
        <v>1041</v>
      </c>
      <c r="U9" s="14">
        <f>+Ruta!Y114+Ruta!Y115+Ruta!Y116+Ruta!Y118+Ruta!Y119+Ruta!Y121+Ruta!Y167+Ruta!Y168</f>
        <v>1029</v>
      </c>
      <c r="V9" s="14">
        <f>+Ruta!AA114+Ruta!AA115+Ruta!AA116+Ruta!AA118+Ruta!AA119+Ruta!AA121+Ruta!AA167+Ruta!AA168</f>
        <v>0</v>
      </c>
    </row>
    <row r="10" spans="2:22" x14ac:dyDescent="0.25">
      <c r="B10" s="10" t="s">
        <v>338</v>
      </c>
      <c r="C10" s="10" t="s">
        <v>317</v>
      </c>
      <c r="D10" s="10">
        <v>3147936241</v>
      </c>
      <c r="E10" s="10" t="s">
        <v>339</v>
      </c>
      <c r="F10" s="13" t="s">
        <v>308</v>
      </c>
      <c r="G10" s="14">
        <v>1</v>
      </c>
      <c r="H10" s="11"/>
      <c r="I10" s="14">
        <f>+Ruta!M4</f>
        <v>8</v>
      </c>
      <c r="J10" s="14">
        <f>+Ruta!N4</f>
        <v>6</v>
      </c>
      <c r="K10" s="14">
        <f>+Ruta!O4</f>
        <v>8</v>
      </c>
      <c r="L10" s="14">
        <f>+Ruta!P4</f>
        <v>7</v>
      </c>
      <c r="M10" s="14">
        <f>+Ruta!Q4</f>
        <v>6</v>
      </c>
      <c r="N10" s="14">
        <f>+Ruta!R4</f>
        <v>6</v>
      </c>
      <c r="O10" s="14">
        <f>+Ruta!S4</f>
        <v>8</v>
      </c>
      <c r="P10" s="14">
        <f>+Ruta!T4</f>
        <v>12</v>
      </c>
      <c r="Q10" s="14">
        <f>+Ruta!U4</f>
        <v>4</v>
      </c>
      <c r="R10" s="14">
        <f>+Ruta!V4</f>
        <v>3</v>
      </c>
      <c r="S10" s="14">
        <f>+Ruta!W4</f>
        <v>2</v>
      </c>
      <c r="T10" s="14">
        <f>+Ruta!X4</f>
        <v>4</v>
      </c>
      <c r="U10" s="14">
        <f>+Ruta!Y4</f>
        <v>3</v>
      </c>
      <c r="V10" s="14">
        <f>+Ruta!AA4</f>
        <v>0</v>
      </c>
    </row>
    <row r="11" spans="2:22" x14ac:dyDescent="0.25">
      <c r="B11" s="10" t="s">
        <v>338</v>
      </c>
      <c r="C11" s="10" t="s">
        <v>314</v>
      </c>
      <c r="D11" s="10">
        <v>3176672375</v>
      </c>
      <c r="E11" s="10" t="s">
        <v>340</v>
      </c>
      <c r="F11" s="13" t="s">
        <v>341</v>
      </c>
      <c r="G11" s="14">
        <v>4</v>
      </c>
      <c r="H11" s="11">
        <v>504</v>
      </c>
      <c r="I11" s="14">
        <f>+Ruta!M26+Ruta!M31+Ruta!M32+Ruta!M35+Ruta!M36</f>
        <v>1188</v>
      </c>
      <c r="J11" s="14">
        <f>+Ruta!N26+Ruta!N31+Ruta!N32+Ruta!N35+Ruta!N36</f>
        <v>1654</v>
      </c>
      <c r="K11" s="14">
        <f>+Ruta!O26+Ruta!O31+Ruta!O32+Ruta!O35+Ruta!O36</f>
        <v>1810</v>
      </c>
      <c r="L11" s="14">
        <f>+Ruta!P26+Ruta!P31+Ruta!P32+Ruta!P35+Ruta!P36</f>
        <v>1780</v>
      </c>
      <c r="M11" s="14">
        <f>+Ruta!Q26+Ruta!Q31+Ruta!Q32+Ruta!Q35+Ruta!Q36</f>
        <v>1602</v>
      </c>
      <c r="N11" s="14">
        <f>+Ruta!R26+Ruta!R31+Ruta!R32+Ruta!R35+Ruta!R36</f>
        <v>1770</v>
      </c>
      <c r="O11" s="14">
        <f>+Ruta!S26+Ruta!S31+Ruta!S32+Ruta!S35+Ruta!S36</f>
        <v>1498</v>
      </c>
      <c r="P11" s="14">
        <f>+Ruta!T26+Ruta!T31+Ruta!T32+Ruta!T35+Ruta!T36</f>
        <v>2160</v>
      </c>
      <c r="Q11" s="14">
        <f>+Ruta!U26+Ruta!U31+Ruta!U32+Ruta!U35+Ruta!U36</f>
        <v>1985</v>
      </c>
      <c r="R11" s="14">
        <f>+Ruta!V26+Ruta!V31+Ruta!V32+Ruta!V35+Ruta!V36</f>
        <v>2292</v>
      </c>
      <c r="S11" s="14">
        <f>+Ruta!W26+Ruta!W31+Ruta!W32+Ruta!W35+Ruta!W36</f>
        <v>2492</v>
      </c>
      <c r="T11" s="14">
        <f>+Ruta!X26+Ruta!X31+Ruta!X32+Ruta!X35+Ruta!X36</f>
        <v>2280</v>
      </c>
      <c r="U11" s="14">
        <f>+Ruta!Y26+Ruta!Y31+Ruta!Y32+Ruta!Y35+Ruta!Y36+Ruta!Y184</f>
        <v>2400</v>
      </c>
      <c r="V11" s="14">
        <f>+Ruta!Z26+Ruta!Z31+Ruta!Z32+Ruta!Z35+Ruta!Z36+Ruta!Z184</f>
        <v>0</v>
      </c>
    </row>
    <row r="12" spans="2:22" x14ac:dyDescent="0.25">
      <c r="B12" s="10" t="s">
        <v>338</v>
      </c>
      <c r="C12" s="10" t="s">
        <v>314</v>
      </c>
      <c r="D12" s="10">
        <v>3176672375</v>
      </c>
      <c r="E12" s="10" t="s">
        <v>340</v>
      </c>
      <c r="F12" s="13" t="s">
        <v>313</v>
      </c>
      <c r="G12" s="14">
        <v>16</v>
      </c>
      <c r="H12" s="11">
        <v>580</v>
      </c>
      <c r="I12" s="14">
        <f>+Ruta!M24+Ruta!M25+Ruta!M27+Ruta!M28+Ruta!M29+Ruta!M30+Ruta!M33+Ruta!M133+Ruta!M134+Ruta!M135+Ruta!M136+Ruta!M137+Ruta!M138+Ruta!M139</f>
        <v>4164</v>
      </c>
      <c r="J12" s="14">
        <f>+Ruta!N24+Ruta!N25+Ruta!N27+Ruta!N28+Ruta!N29+Ruta!N30+Ruta!N33+Ruta!N133+Ruta!N134+Ruta!N135+Ruta!N136+Ruta!N137+Ruta!N138+Ruta!N139</f>
        <v>6704</v>
      </c>
      <c r="K12" s="14">
        <f>+Ruta!O24+Ruta!O25+Ruta!O27+Ruta!O28+Ruta!O29+Ruta!O30+Ruta!O33+Ruta!O133+Ruta!O134+Ruta!O135+Ruta!O136+Ruta!O137+Ruta!O138+Ruta!O139</f>
        <v>6740</v>
      </c>
      <c r="L12" s="14">
        <f>+Ruta!P24+Ruta!P25+Ruta!P27+Ruta!P28+Ruta!P29+Ruta!P30+Ruta!P33+Ruta!P133+Ruta!P134+Ruta!P135+Ruta!P136+Ruta!P137+Ruta!P138+Ruta!P139</f>
        <v>6109</v>
      </c>
      <c r="M12" s="14">
        <f>+Ruta!Q24+Ruta!Q25+Ruta!Q27+Ruta!Q28+Ruta!Q29+Ruta!Q30+Ruta!Q33+Ruta!Q133+Ruta!Q134+Ruta!Q135+Ruta!Q136+Ruta!Q137+Ruta!Q138+Ruta!Q139</f>
        <v>5517</v>
      </c>
      <c r="N12" s="14">
        <f>+Ruta!R24+Ruta!R25+Ruta!R27+Ruta!R28+Ruta!R29+Ruta!R30+Ruta!R33+Ruta!R133+Ruta!R134+Ruta!R135+Ruta!R136+Ruta!R137+Ruta!R138+Ruta!R139+Ruta!R164+Ruta!R165</f>
        <v>6200</v>
      </c>
      <c r="O12" s="14">
        <f>+Ruta!S24+Ruta!S25+Ruta!S27+Ruta!S28+Ruta!S29+Ruta!S30+Ruta!S33+Ruta!S133+Ruta!S134+Ruta!S135+Ruta!S136+Ruta!S137+Ruta!S138+Ruta!S139+Ruta!S164+Ruta!S165</f>
        <v>6999</v>
      </c>
      <c r="P12" s="14">
        <f>+Ruta!T24+Ruta!T25+Ruta!T27+Ruta!T28+Ruta!T29+Ruta!T30+Ruta!T33+Ruta!T133+Ruta!T134+Ruta!T135+Ruta!T136+Ruta!T137+Ruta!T138+Ruta!T139+Ruta!T164+Ruta!T165+Ruta!T166</f>
        <v>10503</v>
      </c>
      <c r="Q12" s="14">
        <f>+Ruta!U24+Ruta!U25+Ruta!U27+Ruta!U28+Ruta!U29+Ruta!U30+Ruta!U33+Ruta!U133+Ruta!U134+Ruta!U135+Ruta!U136+Ruta!U137+Ruta!U138+Ruta!U139+Ruta!U164+Ruta!U165+Ruta!U166</f>
        <v>8528</v>
      </c>
      <c r="R12" s="14">
        <f>+Ruta!V24+Ruta!V25+Ruta!V27+Ruta!V28+Ruta!V29+Ruta!V30+Ruta!V33+Ruta!V133+Ruta!V134+Ruta!V135+Ruta!V136+Ruta!V137+Ruta!V138+Ruta!V139+Ruta!V164+Ruta!V165+Ruta!V166</f>
        <v>9050</v>
      </c>
      <c r="S12" s="14">
        <f>+Ruta!W24+Ruta!W25+Ruta!W27+Ruta!W28+Ruta!W29+Ruta!W30+Ruta!W33+Ruta!W133+Ruta!W134+Ruta!W135+Ruta!W136+Ruta!W137+Ruta!W138+Ruta!W139+Ruta!W164+Ruta!W165+Ruta!W166</f>
        <v>7596</v>
      </c>
      <c r="T12" s="14">
        <f>+Ruta!X24+Ruta!X25+Ruta!X27+Ruta!X28+Ruta!X29+Ruta!X30+Ruta!X33+Ruta!X133+Ruta!X134+Ruta!X135+Ruta!X136+Ruta!X137+Ruta!X138+Ruta!X139+Ruta!X164+Ruta!X165+Ruta!X166</f>
        <v>9030</v>
      </c>
      <c r="U12" s="14">
        <f>+Ruta!Y24+Ruta!Y25+Ruta!Y27+Ruta!Y28+Ruta!Y29+Ruta!Y30+Ruta!Y33+Ruta!Y133+Ruta!Y134+Ruta!Y135+Ruta!Y136+Ruta!Y137+Ruta!Y138+Ruta!Y139+Ruta!Y164+Ruta!Y165+Ruta!Y166</f>
        <v>8128</v>
      </c>
      <c r="V12" s="14">
        <f>+Ruta!AA24+Ruta!AA25+Ruta!AA27+Ruta!AA28+Ruta!AA29+Ruta!AA30+Ruta!AA33+Ruta!AA133+Ruta!AA134+Ruta!AA135+Ruta!AA136+Ruta!AA137+Ruta!AA138+Ruta!AA139+Ruta!AA164+Ruta!AA165+Ruta!AA166</f>
        <v>0</v>
      </c>
    </row>
    <row r="13" spans="2:22" x14ac:dyDescent="0.25">
      <c r="B13" s="10" t="s">
        <v>338</v>
      </c>
      <c r="C13" s="10" t="s">
        <v>314</v>
      </c>
      <c r="D13" s="10">
        <v>3176672375</v>
      </c>
      <c r="E13" s="10" t="s">
        <v>340</v>
      </c>
      <c r="F13" s="13" t="s">
        <v>308</v>
      </c>
      <c r="G13" s="14">
        <v>2</v>
      </c>
      <c r="H13" s="11"/>
      <c r="I13" s="14">
        <f>+Ruta!M23+Ruta!M34+Ruta!M99+Ruta!M100+Ruta!M101+Ruta!M102+Ruta!M103</f>
        <v>122</v>
      </c>
      <c r="J13" s="14">
        <f>+Ruta!N23+Ruta!N34+Ruta!N99+Ruta!N100+Ruta!N101+Ruta!N102+Ruta!N103</f>
        <v>26</v>
      </c>
      <c r="K13" s="14">
        <f>+Ruta!O23+Ruta!O34+Ruta!O99+Ruta!O100+Ruta!O101+Ruta!O102+Ruta!O103</f>
        <v>48</v>
      </c>
      <c r="L13" s="14">
        <f>+Ruta!P23+Ruta!P34+Ruta!P99+Ruta!P100+Ruta!P101+Ruta!P102+Ruta!P103</f>
        <v>42</v>
      </c>
      <c r="M13" s="14">
        <f>+Ruta!Q23+Ruta!Q34+Ruta!Q99+Ruta!Q100+Ruta!Q101+Ruta!Q102+Ruta!Q103</f>
        <v>37</v>
      </c>
      <c r="N13" s="14">
        <f>+Ruta!R23+Ruta!R34+Ruta!R99+Ruta!R100+Ruta!R101+Ruta!R102+Ruta!R103</f>
        <v>48</v>
      </c>
      <c r="O13" s="14">
        <f>+Ruta!S23+Ruta!S34+Ruta!S99+Ruta!S100+Ruta!S101+Ruta!S102+Ruta!S103</f>
        <v>48</v>
      </c>
      <c r="P13" s="14">
        <f>+Ruta!T23+Ruta!T34+Ruta!T99+Ruta!T100+Ruta!T101+Ruta!T102+Ruta!T103</f>
        <v>52</v>
      </c>
      <c r="Q13" s="14">
        <f>+Ruta!U23+Ruta!U34+Ruta!U99+Ruta!U100+Ruta!U101+Ruta!U102+Ruta!U103</f>
        <v>33</v>
      </c>
      <c r="R13" s="14">
        <f>+Ruta!V23+Ruta!V34+Ruta!V99+Ruta!V100+Ruta!V101+Ruta!V102+Ruta!V103</f>
        <v>47</v>
      </c>
      <c r="S13" s="14">
        <f>+Ruta!W23+Ruta!W34+Ruta!W99+Ruta!W100+Ruta!W101+Ruta!W102+Ruta!W103</f>
        <v>64</v>
      </c>
      <c r="T13" s="14">
        <f>+Ruta!X23+Ruta!X34+Ruta!X99+Ruta!X100+Ruta!X101+Ruta!X102+Ruta!X103</f>
        <v>50</v>
      </c>
      <c r="U13" s="14">
        <f>+Ruta!Y23+Ruta!Y34+Ruta!Y99+Ruta!Y100+Ruta!Y101+Ruta!Y102+Ruta!Y103</f>
        <v>53</v>
      </c>
      <c r="V13" s="14">
        <f>+Ruta!AA23+Ruta!AA34+Ruta!AA99+Ruta!AA100+Ruta!AA101+Ruta!AA102+Ruta!AA103</f>
        <v>0</v>
      </c>
    </row>
    <row r="14" spans="2:22" x14ac:dyDescent="0.25">
      <c r="B14" s="10" t="s">
        <v>342</v>
      </c>
      <c r="C14" s="10" t="s">
        <v>316</v>
      </c>
      <c r="D14" s="10">
        <v>3234918301</v>
      </c>
      <c r="E14" s="10" t="s">
        <v>49</v>
      </c>
      <c r="F14" s="13" t="s">
        <v>315</v>
      </c>
      <c r="G14" s="14">
        <v>66</v>
      </c>
      <c r="H14" s="14">
        <f>+Ruta!L37+Ruta!L38+Ruta!L39+Ruta!L40+Ruta!L41+Ruta!L42+Ruta!L43+Ruta!L44+Ruta!L45+Ruta!L46+Ruta!L47+Ruta!L48+Ruta!L49+Ruta!L50+Ruta!L51+Ruta!L53+Ruta!L52+Ruta!L54+Ruta!L55+Ruta!L56+Ruta!L57+Ruta!L58+Ruta!L59+Ruta!L60+Ruta!L61+Ruta!L62+Ruta!L63+Ruta!L64+Ruta!L65+Ruta!L66+Ruta!L67+Ruta!L68+Ruta!L69+Ruta!L70+Ruta!L71+Ruta!L72+Ruta!L73+Ruta!L74+Ruta!L75+Ruta!L76+Ruta!L77+Ruta!L78+Ruta!L79+Ruta!L80+Ruta!L81+Ruta!L82+Ruta!L83+Ruta!L84+Ruta!L85+Ruta!L86+Ruta!L87+Ruta!L88+Ruta!L89+Ruta!L90+Ruta!L91+Ruta!L92+Ruta!L93+Ruta!L94+Ruta!L95+Ruta!L96+Ruta!L97+Ruta!L98</f>
        <v>36</v>
      </c>
      <c r="I14" s="14">
        <f>+Ruta!M37+Ruta!M38+Ruta!M39+Ruta!M40+Ruta!M41+Ruta!M42+Ruta!M43+Ruta!M44+Ruta!M45+Ruta!M46+Ruta!M47+Ruta!M48+Ruta!M49+Ruta!M50+Ruta!M51+Ruta!M53+Ruta!M52+Ruta!M54+Ruta!M55+Ruta!M56+Ruta!M57+Ruta!M58+Ruta!M59+Ruta!M60+Ruta!M61+Ruta!M62+Ruta!M63+Ruta!M64+Ruta!M65+Ruta!M66+Ruta!M67+Ruta!M68+Ruta!M69+Ruta!M70+Ruta!M71+Ruta!M72+Ruta!M73+Ruta!M74+Ruta!M75+Ruta!M76+Ruta!M77+Ruta!M78+Ruta!M79+Ruta!M80+Ruta!M81+Ruta!M82+Ruta!M83+Ruta!M84+Ruta!M85+Ruta!M86+Ruta!M87+Ruta!M88+Ruta!M89+Ruta!M90+Ruta!M91+Ruta!M92+Ruta!M93+Ruta!M94+Ruta!M95+Ruta!M96+Ruta!M97+Ruta!M98</f>
        <v>122</v>
      </c>
      <c r="J14" s="14">
        <f>+Ruta!N37+Ruta!N38+Ruta!N39+Ruta!N40+Ruta!N41+Ruta!N42+Ruta!N43+Ruta!N44+Ruta!N45+Ruta!N46+Ruta!N47+Ruta!N48+Ruta!N49+Ruta!N50+Ruta!N51+Ruta!N53+Ruta!N52+Ruta!N54+Ruta!N55+Ruta!N56+Ruta!N57+Ruta!N58+Ruta!N59+Ruta!N60+Ruta!N61+Ruta!N62+Ruta!N63+Ruta!N64+Ruta!N65+Ruta!N66+Ruta!N67+Ruta!N68+Ruta!N69+Ruta!N70+Ruta!N71+Ruta!N72+Ruta!N73+Ruta!N74+Ruta!N75+Ruta!N76+Ruta!N77+Ruta!N78+Ruta!N79+Ruta!N80+Ruta!N81+Ruta!N82+Ruta!N83+Ruta!N84+Ruta!N85+Ruta!N86+Ruta!N87+Ruta!N88+Ruta!N89+Ruta!N90+Ruta!N91+Ruta!N92+Ruta!N93+Ruta!N94+Ruta!N95+Ruta!N96+Ruta!N97+Ruta!N98+SUM(Ruta!N141:N160)</f>
        <v>315</v>
      </c>
      <c r="K14" s="14">
        <f>+Ruta!O37+Ruta!O38+Ruta!O39+Ruta!O40+Ruta!O41+Ruta!O42+Ruta!O43+Ruta!O44+Ruta!O45+Ruta!O46+Ruta!O47+Ruta!O48+Ruta!O49+Ruta!O50+Ruta!O51+Ruta!O53+Ruta!O52+Ruta!O54+Ruta!O55+Ruta!O56+Ruta!O57+Ruta!O58+Ruta!O59+Ruta!O60+Ruta!O61+Ruta!O62+Ruta!O63+Ruta!O64+Ruta!O65+Ruta!O66+Ruta!O67+Ruta!O68+Ruta!O69+Ruta!O70+Ruta!O71+Ruta!O72+Ruta!O73+Ruta!O74+Ruta!O75+Ruta!O76+Ruta!O77+Ruta!O78+Ruta!O79+Ruta!O80+Ruta!O81+Ruta!O82+Ruta!O83+Ruta!O84+Ruta!O85+Ruta!O86+Ruta!O87+Ruta!O88+Ruta!O89+Ruta!O90+Ruta!O91+Ruta!O92+Ruta!O93+Ruta!O94+Ruta!O95+Ruta!O96+Ruta!O97+Ruta!O98+SUM(Ruta!O141:O160)</f>
        <v>439</v>
      </c>
      <c r="L14" s="14">
        <f>+Ruta!P37+Ruta!P38+Ruta!P39+Ruta!P40+Ruta!P41+Ruta!P42+Ruta!P43+Ruta!P44+Ruta!P45+Ruta!P46+Ruta!P47+Ruta!P48+Ruta!P49+Ruta!P50+Ruta!P51+Ruta!P53+Ruta!P52+Ruta!P54+Ruta!P55+Ruta!P56+Ruta!P57+Ruta!P58+Ruta!P59+Ruta!P60+Ruta!P61+Ruta!P62+Ruta!P63+Ruta!P64+Ruta!P65+Ruta!P66+Ruta!P67+Ruta!P68+Ruta!P69+Ruta!P70+Ruta!P71+Ruta!P72+Ruta!P73+Ruta!P74+Ruta!P75+Ruta!P76+Ruta!P77+Ruta!P78+Ruta!P79+Ruta!P80+Ruta!P81+Ruta!P82+Ruta!P83+Ruta!P84+Ruta!P85+Ruta!P86+Ruta!P87+Ruta!P88+Ruta!P89+Ruta!P90+Ruta!P91+Ruta!P92+Ruta!P93+Ruta!P94+Ruta!P95+Ruta!P96+Ruta!P97+Ruta!P98+SUM(Ruta!P141:P160)</f>
        <v>509</v>
      </c>
      <c r="M14" s="14">
        <f>+Ruta!Q37+Ruta!Q38+Ruta!Q39+Ruta!Q40+Ruta!Q41+Ruta!Q42+Ruta!Q43+Ruta!Q44+Ruta!Q45+Ruta!Q46+Ruta!Q47+Ruta!Q48+Ruta!Q49+Ruta!Q50+Ruta!Q51+Ruta!Q53+Ruta!Q52+Ruta!Q54+Ruta!Q55+Ruta!Q56+Ruta!Q57+Ruta!Q58+Ruta!Q59+Ruta!Q60+Ruta!Q61+Ruta!Q62+Ruta!Q63+Ruta!Q64+Ruta!Q65+Ruta!Q66+Ruta!Q67+Ruta!Q68+Ruta!Q69+Ruta!Q70+Ruta!Q71+Ruta!Q72+Ruta!Q73+Ruta!Q74+Ruta!Q75+Ruta!Q76+Ruta!Q77+Ruta!Q78+Ruta!Q79+Ruta!Q80+Ruta!Q81+Ruta!Q82+Ruta!Q83+Ruta!Q84+Ruta!Q85+Ruta!Q86+Ruta!Q87+Ruta!Q88+Ruta!Q89+Ruta!Q90+Ruta!Q91+Ruta!Q92+Ruta!Q93+Ruta!Q94+Ruta!Q95+Ruta!Q96+Ruta!Q97+Ruta!Q98+SUM(Ruta!Q141:Q160)</f>
        <v>337</v>
      </c>
      <c r="N14" s="14">
        <f>+Ruta!R37+Ruta!R38+Ruta!R39+Ruta!R40+Ruta!R41+Ruta!R42+Ruta!R43+Ruta!R44+Ruta!R45+Ruta!R46+Ruta!R47+Ruta!R48+Ruta!R49+Ruta!R50+Ruta!R51+Ruta!R53+Ruta!R52+Ruta!R54+Ruta!R55+Ruta!R56+Ruta!R57+Ruta!R58+Ruta!R59+Ruta!R60+Ruta!R61+Ruta!R62+Ruta!R63+Ruta!R64+Ruta!R65+Ruta!R66+Ruta!R67+Ruta!R68+Ruta!R69+Ruta!R70+Ruta!R71+Ruta!R72+Ruta!R73+Ruta!R74+Ruta!R75+Ruta!R76+Ruta!R77+Ruta!R78+Ruta!R79+Ruta!R80+Ruta!R81+Ruta!R82+Ruta!R83+Ruta!R84+Ruta!R85+Ruta!R86+Ruta!R87+Ruta!R88+Ruta!R89+Ruta!R90+Ruta!R91+Ruta!R92+Ruta!R93+Ruta!R94+Ruta!R95+Ruta!R96+Ruta!R97+Ruta!R98+SUM(Ruta!R141:R160)</f>
        <v>445</v>
      </c>
      <c r="O14" s="14">
        <f>+Ruta!S37+Ruta!S38+Ruta!S39+Ruta!S40+Ruta!S41+Ruta!S42+Ruta!S43+Ruta!S44+Ruta!S45+Ruta!S46+Ruta!S47+Ruta!S48+Ruta!S49+Ruta!S50+Ruta!S51+Ruta!S53+Ruta!S52+Ruta!S54+Ruta!S55+Ruta!S56+Ruta!S57+Ruta!S58+Ruta!S59+Ruta!S60+Ruta!S61+Ruta!S62+Ruta!S63+Ruta!S64+Ruta!S65+Ruta!S66+Ruta!S67+Ruta!S68+Ruta!S69+Ruta!S70+Ruta!S71+Ruta!S72+Ruta!S73+Ruta!S74+Ruta!S75+Ruta!S76+Ruta!S77+Ruta!S78+Ruta!S79+Ruta!S80+Ruta!S81+Ruta!S82+Ruta!S83+Ruta!S84+Ruta!S85+Ruta!S86+Ruta!S87+Ruta!S88+Ruta!S89+Ruta!S90+Ruta!S91+Ruta!S92+Ruta!S93+Ruta!S94+Ruta!S95+Ruta!S96+Ruta!S97+Ruta!S98+SUM(Ruta!S141:S160)</f>
        <v>594</v>
      </c>
      <c r="P14" s="14">
        <f>+Ruta!T37+Ruta!T38+Ruta!T39+Ruta!T40+Ruta!T41+Ruta!T42+Ruta!T43+Ruta!T44+Ruta!T45+Ruta!T46+Ruta!T47+Ruta!T48+Ruta!T49+Ruta!T50+Ruta!T51+Ruta!T53+Ruta!T52+Ruta!T54+Ruta!T55+Ruta!T56+Ruta!T57+Ruta!T58+Ruta!T59+Ruta!T60+Ruta!T61+Ruta!T62+Ruta!T63+Ruta!T64+Ruta!T65+Ruta!T66+Ruta!T67+Ruta!T68+Ruta!T69+Ruta!T70+Ruta!T71+Ruta!T72+Ruta!T73+Ruta!T74+Ruta!T75+Ruta!T76+Ruta!T77+Ruta!T78+Ruta!T79+Ruta!T80+Ruta!T81+Ruta!T82+Ruta!T83+Ruta!T84+Ruta!T85+Ruta!T86+Ruta!T87+Ruta!T88+Ruta!T89+Ruta!T90+Ruta!T91+Ruta!T92+Ruta!T93+Ruta!T94+Ruta!T95+Ruta!T96+Ruta!T97+Ruta!T98+SUM(Ruta!T141:T160)</f>
        <v>1214</v>
      </c>
      <c r="Q14" s="14">
        <f>+Ruta!U37+Ruta!U38+Ruta!U39+Ruta!U40+Ruta!U41+Ruta!U42+Ruta!U43+Ruta!U44+Ruta!U45+Ruta!U46+Ruta!U47+Ruta!U48+Ruta!U49+Ruta!U50+Ruta!U51+Ruta!U53+Ruta!U52+Ruta!U54+Ruta!U55+Ruta!U56+Ruta!U57+Ruta!U58+Ruta!U59+Ruta!U60+Ruta!U61+Ruta!U62+Ruta!U63+Ruta!U64+Ruta!U65+Ruta!U66+Ruta!U67+Ruta!U68+Ruta!U69+Ruta!U70+Ruta!U71+Ruta!U72+Ruta!U73+Ruta!U74+Ruta!U75+Ruta!U76+Ruta!U77+Ruta!U78+Ruta!U79+Ruta!U80+Ruta!U81+Ruta!U82+Ruta!U83+Ruta!U84+Ruta!U85+Ruta!U86+Ruta!U87+Ruta!U88+Ruta!U89+Ruta!U90+Ruta!U91+Ruta!U92+Ruta!U93+Ruta!U94+Ruta!U95+Ruta!U96+Ruta!U97+Ruta!U98+SUM(Ruta!U141:U160)</f>
        <v>1279</v>
      </c>
      <c r="R14" s="14">
        <f>+Ruta!V37+Ruta!V38+Ruta!V39+Ruta!V40+Ruta!V41+Ruta!V42+Ruta!V43+Ruta!V44+Ruta!V45+Ruta!V46+Ruta!V47+Ruta!V48+Ruta!V49+Ruta!V50+Ruta!V51+Ruta!V53+Ruta!V52+Ruta!V54+Ruta!V55+Ruta!V56+Ruta!V57+Ruta!V58+Ruta!V59+Ruta!V60+Ruta!V61+Ruta!V62+Ruta!V63+Ruta!V64+Ruta!V65+Ruta!V66+Ruta!V67+Ruta!V68+Ruta!V69+Ruta!V70+Ruta!V71+Ruta!V72+Ruta!V73+Ruta!V74+Ruta!V75+Ruta!V76+Ruta!V77+Ruta!V78+Ruta!V79+Ruta!V80+Ruta!V81+Ruta!V82+Ruta!V83+Ruta!V84+Ruta!V85+Ruta!V86+Ruta!V87+Ruta!V88+Ruta!V89+Ruta!V90+Ruta!V91+Ruta!V92+Ruta!V93+Ruta!V94+Ruta!V95+Ruta!V96+Ruta!V97+Ruta!V98+SUM(Ruta!V141:V160)</f>
        <v>1289</v>
      </c>
      <c r="S14" s="14">
        <f>+Ruta!W37+Ruta!W38+Ruta!W39+Ruta!W40+Ruta!W41+Ruta!W42+Ruta!W43+Ruta!W44+Ruta!W45+Ruta!W46+Ruta!W47+Ruta!W48+Ruta!W49+Ruta!W50+Ruta!W51+Ruta!W53+Ruta!W52+Ruta!W54+Ruta!W55+Ruta!W56+Ruta!W57+Ruta!W58+Ruta!W59+Ruta!W60+Ruta!W61+Ruta!W62+Ruta!W63+Ruta!W64+Ruta!W65+Ruta!W66+Ruta!W67+Ruta!W68+Ruta!W69+Ruta!W70+Ruta!W71+Ruta!W72+Ruta!W73+Ruta!W74+Ruta!W75+Ruta!W76+Ruta!W77+Ruta!W78+Ruta!W79+Ruta!W80+Ruta!W81+Ruta!W82+Ruta!W83+Ruta!W84+Ruta!W85+Ruta!W86+Ruta!W87+Ruta!W88+Ruta!W89+Ruta!W90+Ruta!W91+Ruta!W92+Ruta!W93+Ruta!W94+Ruta!W95+Ruta!W96+Ruta!W97+Ruta!W98+SUM(Ruta!W141:W160)</f>
        <v>1293</v>
      </c>
      <c r="T14" s="14">
        <f>+Ruta!X37+Ruta!X38+Ruta!X39+Ruta!X40+Ruta!X41+Ruta!X42+Ruta!X43+Ruta!X44+Ruta!X45+Ruta!X46+Ruta!X47+Ruta!X48+Ruta!X49+Ruta!X50+Ruta!X51+Ruta!X53+Ruta!X52+Ruta!X54+Ruta!X55+Ruta!X56+Ruta!X57+Ruta!X58+Ruta!X59+Ruta!X60+Ruta!X61+Ruta!X62+Ruta!X63+Ruta!X64+Ruta!X65+Ruta!X66+Ruta!X67+Ruta!X68+Ruta!X69+Ruta!X70+Ruta!X71+Ruta!X72+Ruta!X73+Ruta!X74+Ruta!X75+Ruta!X76+Ruta!X77+Ruta!X78+Ruta!X79+Ruta!X80+Ruta!X81+Ruta!X82+Ruta!X83+Ruta!X84+Ruta!X85+Ruta!X86+Ruta!X87+Ruta!X88+Ruta!X89+Ruta!X90+Ruta!X91+Ruta!X92+Ruta!X93+Ruta!X94+Ruta!X95+Ruta!X96+Ruta!X97+Ruta!X98+SUM(Ruta!X141:X160)+SUM(Ruta!X169:X183)</f>
        <v>1862</v>
      </c>
      <c r="U14" s="14">
        <f>+Ruta!Y37+Ruta!Y38+Ruta!Y39+Ruta!Y40+Ruta!Y41+Ruta!Y42+Ruta!Y43+Ruta!Y44+Ruta!Y45+Ruta!Y46+Ruta!Y47+Ruta!Y48+Ruta!Y49+Ruta!Y50+Ruta!Y51+Ruta!Y53+Ruta!Y52+Ruta!Y54+Ruta!Y55+Ruta!Y56+Ruta!Y57+Ruta!Y58+Ruta!Y59+Ruta!Y60+Ruta!Y61+Ruta!Y62+Ruta!Y63+Ruta!Y64+Ruta!Y65+Ruta!Y66+Ruta!Y67+Ruta!Y68+Ruta!Y69+Ruta!Y70+Ruta!Y71+Ruta!Y72+Ruta!Y73+Ruta!Y74+Ruta!Y75+Ruta!Y76+Ruta!Y77+Ruta!Y78+Ruta!Y79+Ruta!Y80+Ruta!Y81+Ruta!Y82+Ruta!Y83+Ruta!Y84+Ruta!Y85+Ruta!Y86+Ruta!Y87+Ruta!Y88+Ruta!Y89+Ruta!Y90+Ruta!Y91+Ruta!Y92+Ruta!Y93+Ruta!Y94+Ruta!Y95+Ruta!Y96+Ruta!Y97+Ruta!Y98+SUM(Ruta!Y141:Y160)+SUM(Ruta!Y169:Y183)</f>
        <v>2216</v>
      </c>
      <c r="V14" s="14">
        <f>+Ruta!AA37+Ruta!AA38+Ruta!AA39+Ruta!AA40+Ruta!AA41+Ruta!AA42+Ruta!AA43+Ruta!AA44+Ruta!AA45+Ruta!AA46+Ruta!AA47+Ruta!AA48+Ruta!AA49+Ruta!AA50+Ruta!AA51+Ruta!AA53+Ruta!AA52+Ruta!AA54+Ruta!AA55+Ruta!AA56+Ruta!AA57+Ruta!AA58+Ruta!AA59+Ruta!AA60+Ruta!AA61+Ruta!AA62+Ruta!AA63+Ruta!AA64+Ruta!AA65+Ruta!AA66+Ruta!AA67+Ruta!AA68+Ruta!AA69+Ruta!AA70+Ruta!AA71+Ruta!AA72+Ruta!AA73+Ruta!AA74+Ruta!AA75+Ruta!AA76+Ruta!AA77+Ruta!AA78+Ruta!AA79+Ruta!AA80+Ruta!AA81+Ruta!AA82+Ruta!AA83+Ruta!AA84+Ruta!AA85+Ruta!AA86+Ruta!AA87+Ruta!AA88+Ruta!AA89+Ruta!AA90+Ruta!AA91+Ruta!AA92+Ruta!AA93+Ruta!AA94+Ruta!AA95+Ruta!AA96+Ruta!AA97+Ruta!AA98+SUM(Ruta!AA141:AA160)+SUM(Ruta!AA169:AA183)</f>
        <v>0</v>
      </c>
    </row>
    <row r="15" spans="2:22" x14ac:dyDescent="0.25">
      <c r="B15" s="10" t="s">
        <v>338</v>
      </c>
      <c r="C15" s="10" t="s">
        <v>310</v>
      </c>
      <c r="D15" s="10">
        <v>3234918324</v>
      </c>
      <c r="E15" s="10" t="s">
        <v>212</v>
      </c>
      <c r="F15" s="13" t="s">
        <v>309</v>
      </c>
      <c r="G15" s="14">
        <v>3</v>
      </c>
      <c r="H15" s="11">
        <v>216</v>
      </c>
      <c r="I15" s="14">
        <f>+Ruta!M5+Ruta!M124+Ruta!M125</f>
        <v>276</v>
      </c>
      <c r="J15" s="14">
        <f>+Ruta!N5+Ruta!N124+Ruta!N125</f>
        <v>300</v>
      </c>
      <c r="K15" s="14">
        <f>+Ruta!O5+Ruta!O124+Ruta!O125</f>
        <v>780</v>
      </c>
      <c r="L15" s="14">
        <f>+Ruta!P5+Ruta!P124+Ruta!P125</f>
        <v>1200</v>
      </c>
      <c r="M15" s="14">
        <f>+Ruta!Q5+Ruta!Q124+Ruta!Q125</f>
        <v>1560</v>
      </c>
      <c r="N15" s="14">
        <f>+Ruta!R5+Ruta!R124+Ruta!R125</f>
        <v>1500</v>
      </c>
      <c r="O15" s="14">
        <f>+Ruta!S5+Ruta!S124+Ruta!S125</f>
        <v>1860</v>
      </c>
      <c r="P15" s="14">
        <f>+Ruta!T5+Ruta!T124+Ruta!T125</f>
        <v>2340</v>
      </c>
      <c r="Q15" s="14">
        <f>+Ruta!U5+Ruta!U124+Ruta!U125</f>
        <v>1260</v>
      </c>
      <c r="R15" s="14">
        <f>+Ruta!V5+Ruta!V124+Ruta!V125</f>
        <v>1320</v>
      </c>
      <c r="S15" s="14">
        <f>+Ruta!W5+Ruta!W124+Ruta!W125</f>
        <v>1620</v>
      </c>
      <c r="T15" s="14">
        <f>+Ruta!X5+Ruta!X124+Ruta!X125</f>
        <v>564</v>
      </c>
      <c r="U15" s="14">
        <f>+Ruta!Y5+Ruta!Y124+Ruta!Y125</f>
        <v>1152</v>
      </c>
      <c r="V15" s="14">
        <f>+Ruta!AA5+Ruta!AA124+Ruta!AA125</f>
        <v>0</v>
      </c>
    </row>
    <row r="16" spans="2:22" x14ac:dyDescent="0.25">
      <c r="B16" s="10" t="s">
        <v>338</v>
      </c>
      <c r="C16" s="10" t="s">
        <v>310</v>
      </c>
      <c r="D16" s="10">
        <v>3234918324</v>
      </c>
      <c r="E16" s="10" t="s">
        <v>212</v>
      </c>
      <c r="F16" s="13" t="s">
        <v>318</v>
      </c>
      <c r="G16" s="14">
        <v>9</v>
      </c>
      <c r="H16" s="11">
        <v>348</v>
      </c>
      <c r="I16" s="14">
        <f>+Ruta!M6+Ruta!M122+Ruta!M123+Ruta!M127+Ruta!M128+Ruta!M140</f>
        <v>460</v>
      </c>
      <c r="J16" s="14">
        <f>+Ruta!N6+Ruta!N122+Ruta!N123+Ruta!N127+Ruta!N128+Ruta!N140+Ruta!N161+Ruta!N162+Ruta!N163</f>
        <v>740</v>
      </c>
      <c r="K16" s="14">
        <f>+Ruta!O6+Ruta!O122+Ruta!O123+Ruta!O127+Ruta!O128+Ruta!O140+Ruta!O161+Ruta!O162+Ruta!O163</f>
        <v>1776</v>
      </c>
      <c r="L16" s="14">
        <f>+Ruta!P6+Ruta!P122+Ruta!P123+Ruta!P127+Ruta!P128+Ruta!P140+Ruta!P161+Ruta!P162+Ruta!P163</f>
        <v>2544</v>
      </c>
      <c r="M16" s="14">
        <f>+Ruta!Q6+Ruta!Q122+Ruta!Q123+Ruta!Q127+Ruta!Q128+Ruta!Q140+Ruta!Q161+Ruta!Q162+Ruta!Q163</f>
        <v>3300</v>
      </c>
      <c r="N16" s="14">
        <f>+Ruta!R6+Ruta!R122+Ruta!R123+Ruta!R127+Ruta!R128+Ruta!R140+Ruta!R161+Ruta!R162+Ruta!R163</f>
        <v>3732</v>
      </c>
      <c r="O16" s="14">
        <f>+Ruta!S6+Ruta!S122+Ruta!S123+Ruta!S127+Ruta!S128+Ruta!S140+Ruta!S161+Ruta!S162+Ruta!S163</f>
        <v>5160</v>
      </c>
      <c r="P16" s="14">
        <f>+Ruta!T6+Ruta!T122+Ruta!T123+Ruta!T127+Ruta!T128+Ruta!T140+Ruta!T161+Ruta!T162+Ruta!T163</f>
        <v>7500</v>
      </c>
      <c r="Q16" s="14">
        <f>+Ruta!U6+Ruta!U122+Ruta!U123+Ruta!U127+Ruta!U128+Ruta!U140+Ruta!U161+Ruta!U162+Ruta!U163</f>
        <v>5436</v>
      </c>
      <c r="R16" s="14">
        <f>+Ruta!V6+Ruta!V122+Ruta!V123+Ruta!V127+Ruta!V128+Ruta!V140+Ruta!V161+Ruta!V162+Ruta!V163</f>
        <v>6192</v>
      </c>
      <c r="S16" s="14">
        <f>+Ruta!W6+Ruta!W122+Ruta!W123+Ruta!W127+Ruta!W128+Ruta!W140+Ruta!W161+Ruta!W162+Ruta!W163</f>
        <v>5316</v>
      </c>
      <c r="T16" s="14">
        <f>+Ruta!X6+Ruta!X122+Ruta!X123+Ruta!X127+Ruta!X128+Ruta!X140+Ruta!X161+Ruta!X162+Ruta!X163</f>
        <v>2592</v>
      </c>
      <c r="U16" s="14">
        <f>+Ruta!Y6+Ruta!Y122+Ruta!Y123+Ruta!Y127+Ruta!Y128+Ruta!Y140+Ruta!Y161+Ruta!Y162+Ruta!Y163</f>
        <v>6144</v>
      </c>
      <c r="V16" s="14">
        <f>+Ruta!AA6+Ruta!AA122+Ruta!AA123+Ruta!AA127+Ruta!AA128+Ruta!AA140+Ruta!AA161+Ruta!AA162+Ruta!AA163</f>
        <v>0</v>
      </c>
    </row>
    <row r="17" spans="2:22" ht="15.75" thickBot="1" x14ac:dyDescent="0.3">
      <c r="B17" s="10" t="s">
        <v>338</v>
      </c>
      <c r="C17" s="10" t="s">
        <v>310</v>
      </c>
      <c r="D17" s="10">
        <v>3234918324</v>
      </c>
      <c r="E17" s="12" t="s">
        <v>212</v>
      </c>
      <c r="F17" s="13" t="s">
        <v>308</v>
      </c>
      <c r="G17" s="14">
        <v>4</v>
      </c>
      <c r="H17" s="11"/>
      <c r="I17" s="14">
        <f>+Ruta!M104+Ruta!M126+Ruta!M129+Ruta!M130+Ruta!M131+Ruta!M132</f>
        <v>312</v>
      </c>
      <c r="J17" s="14">
        <f>+Ruta!N104+Ruta!N126+Ruta!N129+Ruta!N130+Ruta!N131+Ruta!N132</f>
        <v>365</v>
      </c>
      <c r="K17" s="14">
        <f>+Ruta!O104+Ruta!O126+Ruta!O129+Ruta!O130+Ruta!O131+Ruta!O132</f>
        <v>780</v>
      </c>
      <c r="L17" s="14">
        <f>+Ruta!P104+Ruta!P126+Ruta!P129+Ruta!P130+Ruta!P131+Ruta!P132</f>
        <v>348</v>
      </c>
      <c r="M17" s="14">
        <f>+Ruta!Q104+Ruta!Q126+Ruta!Q129+Ruta!Q130+Ruta!Q131+Ruta!Q132</f>
        <v>744</v>
      </c>
      <c r="N17" s="14">
        <f>+Ruta!R104+Ruta!R126+Ruta!R129+Ruta!R130+Ruta!R131+Ruta!R132</f>
        <v>684</v>
      </c>
      <c r="O17" s="14">
        <f>+Ruta!S104+Ruta!S126+Ruta!S129+Ruta!S130+Ruta!S131+Ruta!S132</f>
        <v>924</v>
      </c>
      <c r="P17" s="14">
        <f>+Ruta!T104+Ruta!T126+Ruta!T129+Ruta!T130+Ruta!T131+Ruta!T132</f>
        <v>1212</v>
      </c>
      <c r="Q17" s="14">
        <f>+Ruta!U104+Ruta!U126+Ruta!U129+Ruta!U130+Ruta!U131+Ruta!U132</f>
        <v>804</v>
      </c>
      <c r="R17" s="14">
        <f>+Ruta!V104+Ruta!V126+Ruta!V129+Ruta!V130+Ruta!V131+Ruta!V132</f>
        <v>684</v>
      </c>
      <c r="S17" s="14">
        <f>+Ruta!W104+Ruta!W126+Ruta!W129+Ruta!W130+Ruta!W131+Ruta!W132</f>
        <v>612</v>
      </c>
      <c r="T17" s="14">
        <f>+Ruta!X104+Ruta!X126+Ruta!X129+Ruta!X130+Ruta!X131+Ruta!X132</f>
        <v>348</v>
      </c>
      <c r="U17" s="14">
        <f>+Ruta!Y104+Ruta!Y126+Ruta!Y129+Ruta!Y130+Ruta!Y131+Ruta!Y132</f>
        <v>672</v>
      </c>
      <c r="V17" s="14">
        <f>+Ruta!AA104+Ruta!AA126+Ruta!AA129+Ruta!AA130+Ruta!AA131+Ruta!AA132</f>
        <v>0</v>
      </c>
    </row>
    <row r="18" spans="2:22" ht="15.75" thickBot="1" x14ac:dyDescent="0.3">
      <c r="B18" s="17"/>
      <c r="C18" s="18"/>
      <c r="D18" s="18"/>
      <c r="E18" s="18"/>
      <c r="F18" s="21" t="s">
        <v>343</v>
      </c>
      <c r="G18" s="19">
        <f t="shared" ref="G18:N18" si="0">SUM(G5:G17)</f>
        <v>134</v>
      </c>
      <c r="H18" s="20">
        <f t="shared" si="0"/>
        <v>5260</v>
      </c>
      <c r="I18" s="19">
        <f t="shared" si="0"/>
        <v>13418</v>
      </c>
      <c r="J18" s="19">
        <f t="shared" si="0"/>
        <v>17041</v>
      </c>
      <c r="K18" s="19">
        <f t="shared" si="0"/>
        <v>28540</v>
      </c>
      <c r="L18" s="19">
        <f t="shared" si="0"/>
        <v>28301</v>
      </c>
      <c r="M18" s="19">
        <f t="shared" si="0"/>
        <v>27762</v>
      </c>
      <c r="N18" s="19">
        <f t="shared" si="0"/>
        <v>30081</v>
      </c>
      <c r="O18" s="19">
        <f t="shared" ref="O18:P18" si="1">SUM(O5:O17)</f>
        <v>34869</v>
      </c>
      <c r="P18" s="19">
        <f t="shared" si="1"/>
        <v>41838</v>
      </c>
      <c r="Q18" s="19">
        <f t="shared" ref="Q18:R18" si="2">SUM(Q5:Q17)</f>
        <v>40079</v>
      </c>
      <c r="R18" s="19">
        <f t="shared" si="2"/>
        <v>39728</v>
      </c>
      <c r="S18" s="19">
        <f t="shared" ref="S18:T18" si="3">SUM(S5:S17)</f>
        <v>27359</v>
      </c>
      <c r="T18" s="19">
        <f t="shared" si="3"/>
        <v>32395</v>
      </c>
      <c r="U18" s="19">
        <f t="shared" ref="U18:V18" si="4">SUM(U5:U17)</f>
        <v>39637</v>
      </c>
      <c r="V18" s="19">
        <f t="shared" si="4"/>
        <v>0</v>
      </c>
    </row>
    <row r="19" spans="2:22" ht="15.75" thickBot="1" x14ac:dyDescent="0.3">
      <c r="N19" s="41"/>
      <c r="P19" s="80"/>
      <c r="R19" s="80"/>
      <c r="S19" s="80"/>
      <c r="V19" s="120"/>
    </row>
    <row r="20" spans="2:22" ht="15.75" thickBot="1" x14ac:dyDescent="0.3">
      <c r="F20" s="7" t="s">
        <v>306</v>
      </c>
      <c r="G20" s="9" t="s">
        <v>328</v>
      </c>
      <c r="H20" s="8" t="s">
        <v>650</v>
      </c>
      <c r="I20" s="27" t="s">
        <v>649</v>
      </c>
      <c r="J20" s="106" t="s">
        <v>651</v>
      </c>
      <c r="K20" s="106" t="s">
        <v>652</v>
      </c>
      <c r="L20" s="106" t="s">
        <v>653</v>
      </c>
      <c r="M20" s="106" t="s">
        <v>654</v>
      </c>
      <c r="N20" s="106" t="s">
        <v>655</v>
      </c>
      <c r="O20" s="106" t="s">
        <v>656</v>
      </c>
      <c r="P20" s="107" t="s">
        <v>664</v>
      </c>
      <c r="Q20" s="112" t="s">
        <v>667</v>
      </c>
      <c r="R20" s="112" t="s">
        <v>670</v>
      </c>
      <c r="S20" s="118" t="s">
        <v>673</v>
      </c>
      <c r="T20" s="119" t="s">
        <v>706</v>
      </c>
      <c r="U20" s="125" t="s">
        <v>712</v>
      </c>
      <c r="V20" s="126" t="s">
        <v>715</v>
      </c>
    </row>
    <row r="21" spans="2:22" x14ac:dyDescent="0.25">
      <c r="F21" s="10" t="s">
        <v>344</v>
      </c>
      <c r="G21" s="28">
        <f t="shared" ref="G21:L21" si="5">+G5+G10+G13+G17</f>
        <v>11</v>
      </c>
      <c r="H21" s="14">
        <f t="shared" si="5"/>
        <v>0</v>
      </c>
      <c r="I21" s="14">
        <f t="shared" si="5"/>
        <v>715</v>
      </c>
      <c r="J21" s="14">
        <f t="shared" si="5"/>
        <v>397</v>
      </c>
      <c r="K21" s="14">
        <f t="shared" si="5"/>
        <v>836</v>
      </c>
      <c r="L21" s="14">
        <f t="shared" si="5"/>
        <v>397</v>
      </c>
      <c r="M21" s="14">
        <f t="shared" ref="M21:N21" si="6">+M5+M10+M13+M17</f>
        <v>787</v>
      </c>
      <c r="N21" s="14">
        <f t="shared" si="6"/>
        <v>738</v>
      </c>
      <c r="O21" s="14">
        <f t="shared" ref="O21:P21" si="7">+O5+O10+O13+O17</f>
        <v>980</v>
      </c>
      <c r="P21" s="14">
        <f t="shared" si="7"/>
        <v>1276</v>
      </c>
      <c r="Q21" s="14">
        <f t="shared" ref="Q21:R21" si="8">+Q5+Q10+Q13+Q17</f>
        <v>841</v>
      </c>
      <c r="R21" s="14">
        <f t="shared" si="8"/>
        <v>734</v>
      </c>
      <c r="S21" s="14">
        <f t="shared" ref="S21:T21" si="9">+S5+S10+S13+S17</f>
        <v>678</v>
      </c>
      <c r="T21" s="14">
        <f t="shared" si="9"/>
        <v>402</v>
      </c>
      <c r="U21" s="14">
        <f t="shared" ref="U21:V21" si="10">+U5+U10+U13+U17</f>
        <v>728</v>
      </c>
      <c r="V21" s="14">
        <f t="shared" si="10"/>
        <v>0</v>
      </c>
    </row>
    <row r="22" spans="2:22" x14ac:dyDescent="0.25">
      <c r="F22" s="10" t="s">
        <v>331</v>
      </c>
      <c r="G22" s="28">
        <f t="shared" ref="G22:L22" si="11">+G6+G9+G12+G16+G7</f>
        <v>48</v>
      </c>
      <c r="H22" s="14">
        <f t="shared" si="11"/>
        <v>4458</v>
      </c>
      <c r="I22" s="14">
        <f t="shared" si="11"/>
        <v>11059</v>
      </c>
      <c r="J22" s="14">
        <f t="shared" si="11"/>
        <v>14310</v>
      </c>
      <c r="K22" s="14">
        <f t="shared" si="11"/>
        <v>24629</v>
      </c>
      <c r="L22" s="14">
        <f t="shared" si="11"/>
        <v>24355</v>
      </c>
      <c r="M22" s="14">
        <f t="shared" ref="M22:N22" si="12">+M6+M9+M12+M16+M7</f>
        <v>23396</v>
      </c>
      <c r="N22" s="14">
        <f t="shared" si="12"/>
        <v>25555</v>
      </c>
      <c r="O22" s="14">
        <f t="shared" ref="O22:P22" si="13">+O6+O9+O12+O16+O7</f>
        <v>29845</v>
      </c>
      <c r="P22" s="14">
        <f t="shared" si="13"/>
        <v>34703</v>
      </c>
      <c r="Q22" s="14">
        <f t="shared" ref="Q22:R22" si="14">+Q6+Q9+Q12+Q16+Q7</f>
        <v>34614</v>
      </c>
      <c r="R22" s="14">
        <f t="shared" si="14"/>
        <v>33997</v>
      </c>
      <c r="S22" s="14">
        <f t="shared" ref="S22:T22" si="15">+S6+S9+S12+S16+S7</f>
        <v>21186</v>
      </c>
      <c r="T22" s="14">
        <f t="shared" si="15"/>
        <v>27207</v>
      </c>
      <c r="U22" s="14">
        <f t="shared" ref="U22:V22" si="16">+U6+U9+U12+U16+U7</f>
        <v>33061</v>
      </c>
      <c r="V22" s="14">
        <f t="shared" si="16"/>
        <v>0</v>
      </c>
    </row>
    <row r="23" spans="2:22" x14ac:dyDescent="0.25">
      <c r="F23" s="10" t="s">
        <v>345</v>
      </c>
      <c r="G23" s="28">
        <f t="shared" ref="G23:L23" si="17">+G8+G11+G15</f>
        <v>9</v>
      </c>
      <c r="H23" s="14">
        <f t="shared" si="17"/>
        <v>766</v>
      </c>
      <c r="I23" s="14">
        <f t="shared" si="17"/>
        <v>1522</v>
      </c>
      <c r="J23" s="14">
        <f t="shared" si="17"/>
        <v>2019</v>
      </c>
      <c r="K23" s="14">
        <f t="shared" si="17"/>
        <v>2636</v>
      </c>
      <c r="L23" s="14">
        <f t="shared" si="17"/>
        <v>3040</v>
      </c>
      <c r="M23" s="14">
        <f t="shared" ref="M23:N23" si="18">+M8+M11+M15</f>
        <v>3242</v>
      </c>
      <c r="N23" s="14">
        <f t="shared" si="18"/>
        <v>3343</v>
      </c>
      <c r="O23" s="14">
        <f t="shared" ref="O23:P23" si="19">+O8+O11+O15</f>
        <v>3450</v>
      </c>
      <c r="P23" s="14">
        <f t="shared" si="19"/>
        <v>4645</v>
      </c>
      <c r="Q23" s="14">
        <f t="shared" ref="Q23:R23" si="20">+Q8+Q11+Q15</f>
        <v>3345</v>
      </c>
      <c r="R23" s="14">
        <f t="shared" si="20"/>
        <v>3708</v>
      </c>
      <c r="S23" s="14">
        <f t="shared" ref="S23:T23" si="21">+S8+S11+S15</f>
        <v>4202</v>
      </c>
      <c r="T23" s="14">
        <f t="shared" si="21"/>
        <v>2924</v>
      </c>
      <c r="U23" s="14">
        <f t="shared" ref="U23:V23" si="22">+U8+U11+U15</f>
        <v>3632</v>
      </c>
      <c r="V23" s="14">
        <f t="shared" si="22"/>
        <v>0</v>
      </c>
    </row>
    <row r="24" spans="2:22" ht="15.75" thickBot="1" x14ac:dyDescent="0.3">
      <c r="F24" s="10" t="s">
        <v>315</v>
      </c>
      <c r="G24" s="28">
        <f t="shared" ref="G24:L24" si="23">+G14</f>
        <v>66</v>
      </c>
      <c r="H24" s="14">
        <f t="shared" si="23"/>
        <v>36</v>
      </c>
      <c r="I24" s="14">
        <f t="shared" si="23"/>
        <v>122</v>
      </c>
      <c r="J24" s="14">
        <f t="shared" si="23"/>
        <v>315</v>
      </c>
      <c r="K24" s="14">
        <f t="shared" si="23"/>
        <v>439</v>
      </c>
      <c r="L24" s="14">
        <f t="shared" si="23"/>
        <v>509</v>
      </c>
      <c r="M24" s="14">
        <f t="shared" ref="M24:N24" si="24">+M14</f>
        <v>337</v>
      </c>
      <c r="N24" s="14">
        <f t="shared" si="24"/>
        <v>445</v>
      </c>
      <c r="O24" s="14">
        <f t="shared" ref="O24:P24" si="25">+O14</f>
        <v>594</v>
      </c>
      <c r="P24" s="14">
        <f t="shared" si="25"/>
        <v>1214</v>
      </c>
      <c r="Q24" s="14">
        <f t="shared" ref="Q24:R24" si="26">+Q14</f>
        <v>1279</v>
      </c>
      <c r="R24" s="14">
        <f t="shared" si="26"/>
        <v>1289</v>
      </c>
      <c r="S24" s="14">
        <f t="shared" ref="S24:T24" si="27">+S14</f>
        <v>1293</v>
      </c>
      <c r="T24" s="14">
        <f t="shared" si="27"/>
        <v>1862</v>
      </c>
      <c r="U24" s="14">
        <f t="shared" ref="U24:V24" si="28">+U14</f>
        <v>2216</v>
      </c>
      <c r="V24" s="14">
        <f t="shared" si="28"/>
        <v>0</v>
      </c>
    </row>
    <row r="25" spans="2:22" ht="15.75" thickBot="1" x14ac:dyDescent="0.3">
      <c r="F25" s="17" t="s">
        <v>343</v>
      </c>
      <c r="G25" s="21">
        <f t="shared" ref="G25:N25" si="29">SUM(G21:G24)</f>
        <v>134</v>
      </c>
      <c r="H25" s="19">
        <f t="shared" si="29"/>
        <v>5260</v>
      </c>
      <c r="I25" s="19">
        <f t="shared" si="29"/>
        <v>13418</v>
      </c>
      <c r="J25" s="19">
        <f t="shared" si="29"/>
        <v>17041</v>
      </c>
      <c r="K25" s="19">
        <f t="shared" si="29"/>
        <v>28540</v>
      </c>
      <c r="L25" s="19">
        <f t="shared" si="29"/>
        <v>28301</v>
      </c>
      <c r="M25" s="19">
        <f t="shared" si="29"/>
        <v>27762</v>
      </c>
      <c r="N25" s="19">
        <f t="shared" si="29"/>
        <v>30081</v>
      </c>
      <c r="O25" s="19">
        <f t="shared" ref="O25:P25" si="30">SUM(O21:O24)</f>
        <v>34869</v>
      </c>
      <c r="P25" s="19">
        <f t="shared" si="30"/>
        <v>41838</v>
      </c>
      <c r="Q25" s="19">
        <f t="shared" ref="Q25:R25" si="31">SUM(Q21:Q24)</f>
        <v>40079</v>
      </c>
      <c r="R25" s="19">
        <f t="shared" si="31"/>
        <v>39728</v>
      </c>
      <c r="S25" s="19">
        <f t="shared" ref="S25:T25" si="32">SUM(S21:S24)</f>
        <v>27359</v>
      </c>
      <c r="T25" s="19">
        <f t="shared" si="32"/>
        <v>32395</v>
      </c>
      <c r="U25" s="19">
        <f t="shared" ref="U25:V25" si="33">SUM(U21:U24)</f>
        <v>39637</v>
      </c>
      <c r="V25" s="19">
        <f t="shared" si="33"/>
        <v>0</v>
      </c>
    </row>
  </sheetData>
  <mergeCells count="1">
    <mergeCell ref="B3:V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DE7C-37EB-4276-9364-DF4634EDD9BB}">
  <sheetPr filterMode="1"/>
  <dimension ref="B1:XEZ173"/>
  <sheetViews>
    <sheetView topLeftCell="D1" zoomScale="60" zoomScaleNormal="60" workbookViewId="0">
      <selection activeCell="W139" sqref="W139"/>
    </sheetView>
  </sheetViews>
  <sheetFormatPr baseColWidth="10" defaultRowHeight="15" x14ac:dyDescent="0.25"/>
  <cols>
    <col min="1" max="1" width="4" style="41" customWidth="1"/>
    <col min="2" max="2" width="9.5703125" style="41" customWidth="1"/>
    <col min="3" max="3" width="7" style="41" customWidth="1"/>
    <col min="4" max="4" width="21.85546875" style="41" bestFit="1" customWidth="1"/>
    <col min="5" max="5" width="19" style="41" customWidth="1"/>
    <col min="6" max="6" width="16.42578125" style="41" customWidth="1"/>
    <col min="7" max="7" width="42.42578125" style="4" customWidth="1"/>
    <col min="8" max="8" width="14.42578125" style="41" hidden="1" customWidth="1"/>
    <col min="9" max="9" width="19.28515625" style="41" hidden="1" customWidth="1"/>
    <col min="10" max="10" width="18.28515625" style="41" hidden="1" customWidth="1"/>
    <col min="11" max="11" width="14.7109375" style="41" hidden="1" customWidth="1"/>
    <col min="12" max="12" width="12.140625" style="41" hidden="1" customWidth="1"/>
    <col min="13" max="13" width="15.140625" style="41" hidden="1" customWidth="1"/>
    <col min="14" max="14" width="17.28515625" style="41" hidden="1" customWidth="1"/>
    <col min="15" max="15" width="10.5703125" style="41" hidden="1" customWidth="1"/>
    <col min="16" max="16" width="16.140625" style="41" customWidth="1"/>
    <col min="17" max="17" width="16.140625" style="62" customWidth="1"/>
    <col min="18" max="18" width="11.42578125" style="41" hidden="1" customWidth="1"/>
    <col min="19" max="19" width="15.42578125" style="41" bestFit="1" customWidth="1"/>
    <col min="20" max="20" width="11.42578125" style="80" hidden="1" customWidth="1"/>
    <col min="21" max="21" width="15.42578125" style="41" bestFit="1" customWidth="1"/>
    <col min="22" max="22" width="25.140625" style="80" bestFit="1" customWidth="1"/>
    <col min="23" max="16384" width="11.42578125" style="41"/>
  </cols>
  <sheetData>
    <row r="1" spans="2:22" x14ac:dyDescent="0.25">
      <c r="O1" s="71" t="s">
        <v>623</v>
      </c>
      <c r="P1" s="73" t="s">
        <v>623</v>
      </c>
      <c r="Q1" s="75" t="s">
        <v>623</v>
      </c>
      <c r="R1" s="71" t="s">
        <v>623</v>
      </c>
      <c r="S1" s="73" t="s">
        <v>623</v>
      </c>
      <c r="T1" s="98" t="s">
        <v>623</v>
      </c>
      <c r="U1" s="73" t="s">
        <v>623</v>
      </c>
      <c r="V1" s="73" t="s">
        <v>623</v>
      </c>
    </row>
    <row r="2" spans="2:22" ht="15.75" hidden="1" thickBot="1" x14ac:dyDescent="0.3">
      <c r="B2" s="127" t="s">
        <v>305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41" t="s">
        <v>630</v>
      </c>
      <c r="O2" s="71" t="s">
        <v>624</v>
      </c>
      <c r="P2" s="74" t="s">
        <v>624</v>
      </c>
      <c r="Q2" s="76" t="s">
        <v>629</v>
      </c>
      <c r="R2" s="71" t="s">
        <v>625</v>
      </c>
      <c r="S2" s="74" t="s">
        <v>625</v>
      </c>
      <c r="T2" s="98" t="s">
        <v>637</v>
      </c>
      <c r="U2" s="74" t="s">
        <v>634</v>
      </c>
      <c r="V2" s="74" t="s">
        <v>638</v>
      </c>
    </row>
    <row r="3" spans="2:22" ht="15.75" hidden="1" thickBot="1" x14ac:dyDescent="0.3">
      <c r="B3" s="43" t="s">
        <v>607</v>
      </c>
      <c r="C3" s="43" t="s">
        <v>112</v>
      </c>
      <c r="D3" s="42" t="s">
        <v>0</v>
      </c>
      <c r="E3" s="42" t="s">
        <v>306</v>
      </c>
      <c r="F3" s="42" t="s">
        <v>307</v>
      </c>
      <c r="G3" s="43" t="s">
        <v>1</v>
      </c>
      <c r="H3" s="46" t="s">
        <v>13</v>
      </c>
      <c r="I3" s="43" t="s">
        <v>114</v>
      </c>
      <c r="J3" s="43" t="s">
        <v>115</v>
      </c>
      <c r="K3" s="43" t="s">
        <v>379</v>
      </c>
      <c r="L3" s="43" t="s">
        <v>321</v>
      </c>
      <c r="M3" s="43" t="s">
        <v>631</v>
      </c>
      <c r="N3" s="64" t="s">
        <v>626</v>
      </c>
      <c r="O3" s="64">
        <v>1000</v>
      </c>
      <c r="P3" s="72" t="s">
        <v>627</v>
      </c>
      <c r="Q3" s="77" t="str">
        <f>+P3</f>
        <v xml:space="preserve">Asignación </v>
      </c>
      <c r="R3" s="64">
        <v>3000</v>
      </c>
      <c r="S3" s="72" t="s">
        <v>628</v>
      </c>
      <c r="T3" s="93">
        <v>10000</v>
      </c>
      <c r="U3" s="72" t="s">
        <v>628</v>
      </c>
      <c r="V3" s="72" t="s">
        <v>628</v>
      </c>
    </row>
    <row r="4" spans="2:22" hidden="1" x14ac:dyDescent="0.25">
      <c r="B4" s="95" t="str">
        <f>+Ruta!B4</f>
        <v>SI</v>
      </c>
      <c r="C4" s="95">
        <f>+Ruta!C4</f>
        <v>1</v>
      </c>
      <c r="D4" s="95" t="str">
        <f>+Ruta!D4</f>
        <v xml:space="preserve">La Unión </v>
      </c>
      <c r="E4" s="95" t="str">
        <f>+Ruta!E4</f>
        <v>Supermercado</v>
      </c>
      <c r="F4" s="95" t="str">
        <f>+Ruta!F4</f>
        <v>Jhenny Romero</v>
      </c>
      <c r="G4" s="95" t="str">
        <f>+Ruta!G4</f>
        <v>Supermercado MercaPlaza</v>
      </c>
      <c r="H4" s="95">
        <f>+Ruta!H4</f>
        <v>2023491</v>
      </c>
      <c r="I4" s="95" t="str">
        <f>+Ruta!I4</f>
        <v xml:space="preserve">Marques 3años Botella + Can Agte </v>
      </c>
      <c r="J4" s="95" t="str">
        <f>+Ruta!J4</f>
        <v>Calle 14 # 15 - 13</v>
      </c>
      <c r="K4" s="95">
        <f>+Ruta!K4</f>
        <v>0</v>
      </c>
      <c r="L4" s="79"/>
      <c r="M4" s="79">
        <f>+Ruta!R4</f>
        <v>6</v>
      </c>
      <c r="N4" s="94">
        <v>1.994614540740002E-4</v>
      </c>
      <c r="O4" s="65">
        <f>+O$3*N4</f>
        <v>0.19946145407400021</v>
      </c>
      <c r="P4" s="95">
        <v>3</v>
      </c>
      <c r="Q4" s="65">
        <v>3</v>
      </c>
      <c r="R4" s="65">
        <f>+R$3*N4</f>
        <v>0.59838436222200053</v>
      </c>
      <c r="S4" s="65">
        <f>+P4*3</f>
        <v>9</v>
      </c>
      <c r="T4" s="65">
        <f>+T$3*N4</f>
        <v>1.994614540740002</v>
      </c>
      <c r="U4" s="65">
        <f>+Q4*10</f>
        <v>30</v>
      </c>
      <c r="V4" s="65">
        <f>+S4</f>
        <v>9</v>
      </c>
    </row>
    <row r="5" spans="2:22" hidden="1" x14ac:dyDescent="0.25">
      <c r="B5" s="97" t="str">
        <f>+Ruta!B5</f>
        <v>SI</v>
      </c>
      <c r="C5" s="97">
        <f>+Ruta!C5</f>
        <v>2</v>
      </c>
      <c r="D5" s="97" t="str">
        <f>+Ruta!D5</f>
        <v>Rozo</v>
      </c>
      <c r="E5" s="97" t="str">
        <f>+Ruta!E5</f>
        <v>Licorera</v>
      </c>
      <c r="F5" s="97" t="str">
        <f>+Ruta!F5</f>
        <v>Katherine Rengifo</v>
      </c>
      <c r="G5" s="97" t="str">
        <f>+Ruta!G5</f>
        <v>Estanco Blanco del Valle</v>
      </c>
      <c r="H5" s="97">
        <f>+Ruta!H5</f>
        <v>3122475697</v>
      </c>
      <c r="I5" s="97" t="str">
        <f>+Ruta!I5</f>
        <v xml:space="preserve">Marques 3años Botella + Can Agte </v>
      </c>
      <c r="J5" s="97" t="str">
        <f>+Ruta!J5</f>
        <v>Calle 10 # 9A- 29</v>
      </c>
      <c r="K5" s="97">
        <f>+Ruta!K5</f>
        <v>0</v>
      </c>
      <c r="L5" s="78">
        <f>4*12</f>
        <v>48</v>
      </c>
      <c r="M5" s="78">
        <f>+Ruta!R5</f>
        <v>360</v>
      </c>
      <c r="N5" s="96">
        <v>1.1967687244440013E-2</v>
      </c>
      <c r="O5" s="66">
        <f t="shared" ref="O5:O68" si="0">+O$3*N5</f>
        <v>11.967687244440013</v>
      </c>
      <c r="P5" s="67">
        <v>10</v>
      </c>
      <c r="Q5" s="66">
        <v>10</v>
      </c>
      <c r="R5" s="66">
        <f t="shared" ref="R5:R68" si="1">+R$3*N5</f>
        <v>35.903061733320037</v>
      </c>
      <c r="S5" s="66">
        <f t="shared" ref="S5:S68" si="2">+P5*3</f>
        <v>30</v>
      </c>
      <c r="T5" s="66">
        <f t="shared" ref="T5:T68" si="3">+T$3*N5</f>
        <v>119.67687244440013</v>
      </c>
      <c r="U5" s="66">
        <f>+Q5*10</f>
        <v>100</v>
      </c>
      <c r="V5" s="66">
        <f t="shared" ref="V5:V68" si="4">+S5</f>
        <v>30</v>
      </c>
    </row>
    <row r="6" spans="2:22" hidden="1" x14ac:dyDescent="0.25">
      <c r="B6" s="97" t="str">
        <f>+Ruta!B6</f>
        <v>SI</v>
      </c>
      <c r="C6" s="97">
        <f>+Ruta!C6</f>
        <v>3</v>
      </c>
      <c r="D6" s="97" t="str">
        <f>+Ruta!D6</f>
        <v>Guacarí</v>
      </c>
      <c r="E6" s="97" t="str">
        <f>+Ruta!E6</f>
        <v xml:space="preserve">Mayorista </v>
      </c>
      <c r="F6" s="97" t="str">
        <f>+Ruta!F6</f>
        <v>Katherine Rengifo</v>
      </c>
      <c r="G6" s="97" t="str">
        <f>+Ruta!G6</f>
        <v>Licores Los Paisas</v>
      </c>
      <c r="H6" s="97">
        <f>+Ruta!H6</f>
        <v>3216537169</v>
      </c>
      <c r="I6" s="97" t="str">
        <f>+Ruta!I6</f>
        <v xml:space="preserve">Marques 3años Botella + Can Agte </v>
      </c>
      <c r="J6" s="97" t="str">
        <f>+Ruta!J6</f>
        <v>Carrera 7 # 4 - 80</v>
      </c>
      <c r="K6" s="97">
        <f>+Ruta!K6</f>
        <v>0</v>
      </c>
      <c r="L6" s="78">
        <v>0</v>
      </c>
      <c r="M6" s="78">
        <f>+Ruta!R6</f>
        <v>600</v>
      </c>
      <c r="N6" s="96">
        <v>1.9946145407400018E-2</v>
      </c>
      <c r="O6" s="66">
        <f t="shared" si="0"/>
        <v>19.946145407400017</v>
      </c>
      <c r="P6" s="67">
        <v>10</v>
      </c>
      <c r="Q6" s="66">
        <v>10</v>
      </c>
      <c r="R6" s="66">
        <f t="shared" si="1"/>
        <v>59.838436222200052</v>
      </c>
      <c r="S6" s="66">
        <v>60</v>
      </c>
      <c r="T6" s="66">
        <f t="shared" si="3"/>
        <v>199.46145407400019</v>
      </c>
      <c r="U6" s="66">
        <v>180</v>
      </c>
      <c r="V6" s="66">
        <f t="shared" si="4"/>
        <v>60</v>
      </c>
    </row>
    <row r="7" spans="2:22" hidden="1" x14ac:dyDescent="0.25">
      <c r="B7" s="97" t="str">
        <f>+Ruta!B7</f>
        <v>NO</v>
      </c>
      <c r="C7" s="97">
        <f>+Ruta!C7</f>
        <v>4</v>
      </c>
      <c r="D7" s="97" t="str">
        <f>+Ruta!D7</f>
        <v xml:space="preserve">Valle </v>
      </c>
      <c r="E7" s="97" t="str">
        <f>+Ruta!E7</f>
        <v>Supermercado</v>
      </c>
      <c r="F7" s="97" t="str">
        <f>+Ruta!F7</f>
        <v>Miriam Mejia</v>
      </c>
      <c r="G7" s="97" t="str">
        <f>+Ruta!G7</f>
        <v>SurtiFamiliar</v>
      </c>
      <c r="H7" s="97">
        <f>+Ruta!H7</f>
        <v>4873041</v>
      </c>
      <c r="I7" s="97" t="str">
        <f>+Ruta!I7</f>
        <v>Marques 3años Botella + Can Agte  - Marques 3años Botella  + Can Marques 3años -Marques Bot 3años P2 x 3 - Marques Can P2 X3 -</v>
      </c>
      <c r="J7" s="97">
        <f>+Ruta!J7</f>
        <v>0</v>
      </c>
      <c r="K7" s="97">
        <f>+Ruta!K7</f>
        <v>0</v>
      </c>
      <c r="L7" s="99"/>
      <c r="M7" s="78">
        <f>+Ruta!R7</f>
        <v>0</v>
      </c>
      <c r="N7" s="96">
        <v>0</v>
      </c>
      <c r="O7" s="66">
        <f t="shared" si="0"/>
        <v>0</v>
      </c>
      <c r="P7" s="97"/>
      <c r="Q7" s="66">
        <v>0</v>
      </c>
      <c r="R7" s="66">
        <f t="shared" si="1"/>
        <v>0</v>
      </c>
      <c r="S7" s="66">
        <f t="shared" si="2"/>
        <v>0</v>
      </c>
      <c r="T7" s="66">
        <f t="shared" si="3"/>
        <v>0</v>
      </c>
      <c r="U7" s="66">
        <f t="shared" ref="U7:U68" si="5">+Q7*10</f>
        <v>0</v>
      </c>
      <c r="V7" s="66">
        <f t="shared" si="4"/>
        <v>0</v>
      </c>
    </row>
    <row r="8" spans="2:22" hidden="1" x14ac:dyDescent="0.25">
      <c r="B8" s="97" t="str">
        <f>+Ruta!B8</f>
        <v>NO</v>
      </c>
      <c r="C8" s="97">
        <f>+Ruta!C8</f>
        <v>5</v>
      </c>
      <c r="D8" s="97" t="str">
        <f>+Ruta!D8</f>
        <v xml:space="preserve">Cali </v>
      </c>
      <c r="E8" s="97" t="str">
        <f>+Ruta!E8</f>
        <v>Supermercado</v>
      </c>
      <c r="F8" s="97" t="str">
        <f>+Ruta!F8</f>
        <v>Miriam Mejia</v>
      </c>
      <c r="G8" s="97" t="str">
        <f>+Ruta!G8</f>
        <v>Supermercados Galerías Plaza</v>
      </c>
      <c r="H8" s="97">
        <f>+Ruta!H8</f>
        <v>3041365780</v>
      </c>
      <c r="I8" s="97">
        <f>+Ruta!I8</f>
        <v>0</v>
      </c>
      <c r="J8" s="97" t="str">
        <f>+Ruta!J8</f>
        <v>Cl. 19 Oe. #4 A 11</v>
      </c>
      <c r="K8" s="97">
        <f>+Ruta!K8</f>
        <v>0</v>
      </c>
      <c r="L8" s="99"/>
      <c r="M8" s="78">
        <f>+Ruta!R8</f>
        <v>0</v>
      </c>
      <c r="N8" s="96">
        <v>0</v>
      </c>
      <c r="O8" s="66">
        <f t="shared" si="0"/>
        <v>0</v>
      </c>
      <c r="P8" s="97"/>
      <c r="Q8" s="66">
        <v>0</v>
      </c>
      <c r="R8" s="66">
        <f t="shared" si="1"/>
        <v>0</v>
      </c>
      <c r="S8" s="66">
        <f t="shared" si="2"/>
        <v>0</v>
      </c>
      <c r="T8" s="66">
        <f t="shared" si="3"/>
        <v>0</v>
      </c>
      <c r="U8" s="66">
        <f t="shared" si="5"/>
        <v>0</v>
      </c>
      <c r="V8" s="66">
        <f t="shared" si="4"/>
        <v>0</v>
      </c>
    </row>
    <row r="9" spans="2:22" hidden="1" x14ac:dyDescent="0.25">
      <c r="B9" s="97" t="str">
        <f>+Ruta!B9</f>
        <v>NO</v>
      </c>
      <c r="C9" s="97">
        <f>+Ruta!C9</f>
        <v>6</v>
      </c>
      <c r="D9" s="97" t="str">
        <f>+Ruta!D9</f>
        <v xml:space="preserve">Valle </v>
      </c>
      <c r="E9" s="97" t="str">
        <f>+Ruta!E9</f>
        <v>Supermercado</v>
      </c>
      <c r="F9" s="97" t="str">
        <f>+Ruta!F9</f>
        <v>Miriam Mejia</v>
      </c>
      <c r="G9" s="97" t="str">
        <f>+Ruta!G9</f>
        <v>Confandi</v>
      </c>
      <c r="H9" s="97">
        <f>+Ruta!H9</f>
        <v>3176365583</v>
      </c>
      <c r="I9" s="97" t="str">
        <f>+Ruta!I9</f>
        <v>Marques 3años Botella + Can Agte  - Marques 3años Botella  + Can Marques 3años -Marques Bot 3años P2 x 3 - Marques Can P2 X3 -</v>
      </c>
      <c r="J9" s="97">
        <f>+Ruta!J9</f>
        <v>0</v>
      </c>
      <c r="K9" s="97">
        <f>+Ruta!K9</f>
        <v>0</v>
      </c>
      <c r="L9" s="99"/>
      <c r="M9" s="78">
        <f>+Ruta!R9</f>
        <v>0</v>
      </c>
      <c r="N9" s="96">
        <v>0</v>
      </c>
      <c r="O9" s="66">
        <f t="shared" si="0"/>
        <v>0</v>
      </c>
      <c r="P9" s="97"/>
      <c r="Q9" s="66">
        <v>0</v>
      </c>
      <c r="R9" s="66">
        <f t="shared" si="1"/>
        <v>0</v>
      </c>
      <c r="S9" s="66">
        <f t="shared" si="2"/>
        <v>0</v>
      </c>
      <c r="T9" s="66">
        <f t="shared" si="3"/>
        <v>0</v>
      </c>
      <c r="U9" s="66">
        <f t="shared" si="5"/>
        <v>0</v>
      </c>
      <c r="V9" s="66">
        <f t="shared" si="4"/>
        <v>0</v>
      </c>
    </row>
    <row r="10" spans="2:22" hidden="1" x14ac:dyDescent="0.25">
      <c r="B10" s="97" t="str">
        <f>+Ruta!B10</f>
        <v>SI</v>
      </c>
      <c r="C10" s="97">
        <f>+Ruta!C10</f>
        <v>7</v>
      </c>
      <c r="D10" s="97" t="str">
        <f>+Ruta!D10</f>
        <v>Cali</v>
      </c>
      <c r="E10" s="97" t="str">
        <f>+Ruta!E10</f>
        <v xml:space="preserve">Mayorista </v>
      </c>
      <c r="F10" s="97" t="str">
        <f>+Ruta!F10</f>
        <v>Edwin Polanco</v>
      </c>
      <c r="G10" s="97" t="str">
        <f>+Ruta!G10</f>
        <v>Los Paisas de la 44</v>
      </c>
      <c r="H10" s="97" t="str">
        <f>+Ruta!H10</f>
        <v>4415918 - 3113078334</v>
      </c>
      <c r="I10" s="97" t="str">
        <f>+Ruta!I10</f>
        <v>Marques 3años Botella + Can Agte  - Marques 3años Botella  + Can Marques 3años</v>
      </c>
      <c r="J10" s="97" t="str">
        <f>+Ruta!J10</f>
        <v>calle 44 # 14-62</v>
      </c>
      <c r="K10" s="97">
        <f>+Ruta!K10</f>
        <v>0</v>
      </c>
      <c r="L10" s="100">
        <v>360</v>
      </c>
      <c r="M10" s="78">
        <f>+Ruta!R10</f>
        <v>720</v>
      </c>
      <c r="N10" s="96">
        <v>2.3935374488880026E-2</v>
      </c>
      <c r="O10" s="66">
        <f t="shared" si="0"/>
        <v>23.935374488880026</v>
      </c>
      <c r="P10" s="67">
        <v>20</v>
      </c>
      <c r="Q10" s="66">
        <v>20</v>
      </c>
      <c r="R10" s="66">
        <f t="shared" si="1"/>
        <v>71.806123466640074</v>
      </c>
      <c r="S10" s="66">
        <v>65</v>
      </c>
      <c r="T10" s="66">
        <f t="shared" si="3"/>
        <v>239.35374488880026</v>
      </c>
      <c r="U10" s="66">
        <f t="shared" si="5"/>
        <v>200</v>
      </c>
      <c r="V10" s="66">
        <f t="shared" si="4"/>
        <v>65</v>
      </c>
    </row>
    <row r="11" spans="2:22" hidden="1" x14ac:dyDescent="0.25">
      <c r="B11" s="97" t="str">
        <f>+Ruta!B11</f>
        <v>SI</v>
      </c>
      <c r="C11" s="97">
        <f>+Ruta!C11</f>
        <v>8</v>
      </c>
      <c r="D11" s="97" t="str">
        <f>+Ruta!D11</f>
        <v>Cali</v>
      </c>
      <c r="E11" s="97" t="str">
        <f>+Ruta!E11</f>
        <v xml:space="preserve">Mayorista </v>
      </c>
      <c r="F11" s="97" t="str">
        <f>+Ruta!F11</f>
        <v>Edwin Polanco</v>
      </c>
      <c r="G11" s="97" t="str">
        <f>+Ruta!G11</f>
        <v>Brisas de Juanchito</v>
      </c>
      <c r="H11" s="97" t="str">
        <f>+Ruta!H11</f>
        <v>6560777 - 3153158897</v>
      </c>
      <c r="I11" s="97" t="str">
        <f>+Ruta!I11</f>
        <v>Marques 3años Botella + Can Agte  - Marques 3años Botella  + Can Marques 3años -Marques Bot 3años P2 x 3 - Marques Can P2 X3</v>
      </c>
      <c r="J11" s="97" t="str">
        <f>+Ruta!J11</f>
        <v>Carrera 8 #72-04</v>
      </c>
      <c r="K11" s="97">
        <f>+Ruta!K11</f>
        <v>0</v>
      </c>
      <c r="L11" s="100">
        <v>480</v>
      </c>
      <c r="M11" s="78">
        <f>+Ruta!R11</f>
        <v>1320</v>
      </c>
      <c r="N11" s="96">
        <v>4.3881519896280044E-2</v>
      </c>
      <c r="O11" s="66">
        <f t="shared" si="0"/>
        <v>43.881519896280047</v>
      </c>
      <c r="P11" s="67">
        <v>35</v>
      </c>
      <c r="Q11" s="66">
        <v>35</v>
      </c>
      <c r="R11" s="66">
        <f t="shared" si="1"/>
        <v>131.64455968884013</v>
      </c>
      <c r="S11" s="66">
        <v>100</v>
      </c>
      <c r="T11" s="66">
        <f t="shared" si="3"/>
        <v>438.81519896280042</v>
      </c>
      <c r="U11" s="66">
        <v>330</v>
      </c>
      <c r="V11" s="66">
        <f t="shared" si="4"/>
        <v>100</v>
      </c>
    </row>
    <row r="12" spans="2:22" hidden="1" x14ac:dyDescent="0.25">
      <c r="B12" s="97" t="str">
        <f>+Ruta!B12</f>
        <v>SI</v>
      </c>
      <c r="C12" s="97">
        <f>+Ruta!C12</f>
        <v>9</v>
      </c>
      <c r="D12" s="97" t="str">
        <f>+Ruta!D12</f>
        <v>Cali</v>
      </c>
      <c r="E12" s="97" t="str">
        <f>+Ruta!E12</f>
        <v xml:space="preserve">Mayorista </v>
      </c>
      <c r="F12" s="97" t="str">
        <f>+Ruta!F12</f>
        <v>Edwin Polanco</v>
      </c>
      <c r="G12" s="97" t="str">
        <f>+Ruta!G12</f>
        <v>La 66</v>
      </c>
      <c r="H12" s="97" t="str">
        <f>+Ruta!H12</f>
        <v>3314763 - 3176095207</v>
      </c>
      <c r="I12" s="97" t="str">
        <f>+Ruta!I12</f>
        <v>Marques 3años Botella + Can Agte  - Marques 3años Botella  + Can Marques 3años -Marques Bot 3años P2 x 3 - Marques Can P2 X3 - Marques 8años + Can 3 años - shot x Bot s,a - 2shock por Garrafa</v>
      </c>
      <c r="J12" s="97" t="str">
        <f>+Ruta!J12</f>
        <v>Carrera 66 #10-12</v>
      </c>
      <c r="K12" s="97">
        <f>+Ruta!K12</f>
        <v>0</v>
      </c>
      <c r="L12" s="100">
        <v>540</v>
      </c>
      <c r="M12" s="78">
        <f>+Ruta!R12</f>
        <v>1140</v>
      </c>
      <c r="N12" s="96">
        <v>3.7897676274060037E-2</v>
      </c>
      <c r="O12" s="66">
        <f t="shared" si="0"/>
        <v>37.897676274060039</v>
      </c>
      <c r="P12" s="67">
        <v>35</v>
      </c>
      <c r="Q12" s="66">
        <v>35</v>
      </c>
      <c r="R12" s="66">
        <f t="shared" si="1"/>
        <v>113.69302882218011</v>
      </c>
      <c r="S12" s="66">
        <v>100</v>
      </c>
      <c r="T12" s="66">
        <f t="shared" si="3"/>
        <v>378.97676274060035</v>
      </c>
      <c r="U12" s="66">
        <v>330</v>
      </c>
      <c r="V12" s="66">
        <f t="shared" si="4"/>
        <v>100</v>
      </c>
    </row>
    <row r="13" spans="2:22" hidden="1" x14ac:dyDescent="0.25">
      <c r="B13" s="97" t="str">
        <f>+Ruta!B13</f>
        <v>SI</v>
      </c>
      <c r="C13" s="97">
        <f>+Ruta!C13</f>
        <v>10</v>
      </c>
      <c r="D13" s="97" t="str">
        <f>+Ruta!D13</f>
        <v>Cali</v>
      </c>
      <c r="E13" s="97" t="str">
        <f>+Ruta!E13</f>
        <v xml:space="preserve">Mayorista </v>
      </c>
      <c r="F13" s="97" t="str">
        <f>+Ruta!F13</f>
        <v>Edwin Polanco</v>
      </c>
      <c r="G13" s="97" t="str">
        <f>+Ruta!G13</f>
        <v>Villa del Lago</v>
      </c>
      <c r="H13" s="97">
        <f>+Ruta!H13</f>
        <v>6627676</v>
      </c>
      <c r="I13" s="97" t="str">
        <f>+Ruta!I13</f>
        <v>Marques 3años Botella + Can Agte  - Marques 3años Botella  + Can Marques 3años</v>
      </c>
      <c r="J13" s="97" t="str">
        <f>+Ruta!J13</f>
        <v>Diagonal 70 # 25e-10</v>
      </c>
      <c r="K13" s="97">
        <f>+Ruta!K13</f>
        <v>0</v>
      </c>
      <c r="L13" s="100">
        <v>300</v>
      </c>
      <c r="M13" s="78">
        <f>+Ruta!R13</f>
        <v>840</v>
      </c>
      <c r="N13" s="96">
        <v>2.7924603570360029E-2</v>
      </c>
      <c r="O13" s="66">
        <f t="shared" si="0"/>
        <v>27.924603570360031</v>
      </c>
      <c r="P13" s="67">
        <v>20</v>
      </c>
      <c r="Q13" s="66">
        <v>20</v>
      </c>
      <c r="R13" s="66">
        <f t="shared" si="1"/>
        <v>83.773810711080088</v>
      </c>
      <c r="S13" s="66">
        <v>60</v>
      </c>
      <c r="T13" s="66">
        <f t="shared" si="3"/>
        <v>279.24603570360028</v>
      </c>
      <c r="U13" s="66">
        <f t="shared" si="5"/>
        <v>200</v>
      </c>
      <c r="V13" s="66">
        <f t="shared" si="4"/>
        <v>60</v>
      </c>
    </row>
    <row r="14" spans="2:22" hidden="1" x14ac:dyDescent="0.25">
      <c r="B14" s="97" t="str">
        <f>+Ruta!B14</f>
        <v>SI</v>
      </c>
      <c r="C14" s="97">
        <f>+Ruta!C14</f>
        <v>11</v>
      </c>
      <c r="D14" s="97" t="str">
        <f>+Ruta!D14</f>
        <v>Cali</v>
      </c>
      <c r="E14" s="97" t="str">
        <f>+Ruta!E14</f>
        <v xml:space="preserve">Mayorista </v>
      </c>
      <c r="F14" s="97" t="str">
        <f>+Ruta!F14</f>
        <v>Edwin Polanco</v>
      </c>
      <c r="G14" s="97" t="str">
        <f>+Ruta!G14</f>
        <v>Los Panchos</v>
      </c>
      <c r="H14" s="97">
        <f>+Ruta!H14</f>
        <v>6629305</v>
      </c>
      <c r="I14" s="97" t="str">
        <f>+Ruta!I14</f>
        <v>Marques 3años Botella + Can Agte  - Marques 3años Botella  + Can Marques 3años</v>
      </c>
      <c r="J14" s="97" t="str">
        <f>+Ruta!J14</f>
        <v>calle 73 # 7tbII2-38</v>
      </c>
      <c r="K14" s="97">
        <f>+Ruta!K14</f>
        <v>0</v>
      </c>
      <c r="L14" s="100">
        <f>26*12</f>
        <v>312</v>
      </c>
      <c r="M14" s="78">
        <f>+Ruta!R14</f>
        <v>1200</v>
      </c>
      <c r="N14" s="96">
        <v>3.9892290814800037E-2</v>
      </c>
      <c r="O14" s="66">
        <f t="shared" si="0"/>
        <v>39.892290814800035</v>
      </c>
      <c r="P14" s="67">
        <v>35</v>
      </c>
      <c r="Q14" s="66">
        <v>35</v>
      </c>
      <c r="R14" s="66">
        <f t="shared" si="1"/>
        <v>119.6768724444001</v>
      </c>
      <c r="S14" s="66">
        <v>95</v>
      </c>
      <c r="T14" s="66">
        <f t="shared" si="3"/>
        <v>398.92290814800037</v>
      </c>
      <c r="U14" s="66">
        <v>320</v>
      </c>
      <c r="V14" s="66">
        <f t="shared" si="4"/>
        <v>95</v>
      </c>
    </row>
    <row r="15" spans="2:22" hidden="1" x14ac:dyDescent="0.25">
      <c r="B15" s="97" t="str">
        <f>+Ruta!B15</f>
        <v>SI</v>
      </c>
      <c r="C15" s="97">
        <f>+Ruta!C15</f>
        <v>12</v>
      </c>
      <c r="D15" s="97" t="str">
        <f>+Ruta!D15</f>
        <v>Cali</v>
      </c>
      <c r="E15" s="97" t="str">
        <f>+Ruta!E15</f>
        <v xml:space="preserve">Mayorista </v>
      </c>
      <c r="F15" s="97" t="str">
        <f>+Ruta!F15</f>
        <v>Edwin Polanco</v>
      </c>
      <c r="G15" s="97" t="str">
        <f>+Ruta!G15</f>
        <v>La Mayorista</v>
      </c>
      <c r="H15" s="97">
        <f>+Ruta!H15</f>
        <v>4416350</v>
      </c>
      <c r="I15" s="97" t="str">
        <f>+Ruta!I15</f>
        <v>Marques 3años Botella + Can Agte  - Marques 3años Botella  + Can Marques 3años</v>
      </c>
      <c r="J15" s="97" t="str">
        <f>+Ruta!J15</f>
        <v>Carera 27 dg 28b -93</v>
      </c>
      <c r="K15" s="97">
        <f>+Ruta!K15</f>
        <v>0</v>
      </c>
      <c r="L15" s="100">
        <v>384</v>
      </c>
      <c r="M15" s="78">
        <f>+Ruta!R15</f>
        <v>600</v>
      </c>
      <c r="N15" s="96">
        <v>1.9946145407400018E-2</v>
      </c>
      <c r="O15" s="66">
        <f t="shared" si="0"/>
        <v>19.946145407400017</v>
      </c>
      <c r="P15" s="67">
        <v>16</v>
      </c>
      <c r="Q15" s="66">
        <v>16</v>
      </c>
      <c r="R15" s="66">
        <f t="shared" si="1"/>
        <v>59.838436222200052</v>
      </c>
      <c r="S15" s="66">
        <v>45</v>
      </c>
      <c r="T15" s="66">
        <f t="shared" si="3"/>
        <v>199.46145407400019</v>
      </c>
      <c r="U15" s="66">
        <f t="shared" si="5"/>
        <v>160</v>
      </c>
      <c r="V15" s="66">
        <f t="shared" si="4"/>
        <v>45</v>
      </c>
    </row>
    <row r="16" spans="2:22" hidden="1" x14ac:dyDescent="0.25">
      <c r="B16" s="97" t="str">
        <f>+Ruta!B16</f>
        <v>SI</v>
      </c>
      <c r="C16" s="97">
        <f>+Ruta!C16</f>
        <v>13</v>
      </c>
      <c r="D16" s="97" t="str">
        <f>+Ruta!D16</f>
        <v>Cali</v>
      </c>
      <c r="E16" s="97" t="str">
        <f>+Ruta!E16</f>
        <v xml:space="preserve">Mayorista </v>
      </c>
      <c r="F16" s="97" t="str">
        <f>+Ruta!F16</f>
        <v>Edwin Polanco</v>
      </c>
      <c r="G16" s="97" t="str">
        <f>+Ruta!G16</f>
        <v>El Poblado</v>
      </c>
      <c r="H16" s="97">
        <f>+Ruta!H16</f>
        <v>4263073</v>
      </c>
      <c r="I16" s="97" t="str">
        <f>+Ruta!I16</f>
        <v>Marques 3años Botella + Can Agte  - Marques 3años Botella + Can Marques 3años - Marques Can P2 X3</v>
      </c>
      <c r="J16" s="97" t="str">
        <f>+Ruta!J16</f>
        <v>Calle 72u # 28-47</v>
      </c>
      <c r="K16" s="97">
        <f>+Ruta!K16</f>
        <v>0</v>
      </c>
      <c r="L16" s="100">
        <f>26*12</f>
        <v>312</v>
      </c>
      <c r="M16" s="78">
        <f>+Ruta!R16</f>
        <v>1140</v>
      </c>
      <c r="N16" s="96">
        <v>3.7897676274060037E-2</v>
      </c>
      <c r="O16" s="66">
        <f t="shared" si="0"/>
        <v>37.897676274060039</v>
      </c>
      <c r="P16" s="67">
        <v>35</v>
      </c>
      <c r="Q16" s="66">
        <v>35</v>
      </c>
      <c r="R16" s="66">
        <f t="shared" si="1"/>
        <v>113.69302882218011</v>
      </c>
      <c r="S16" s="66">
        <v>90</v>
      </c>
      <c r="T16" s="66">
        <f t="shared" si="3"/>
        <v>378.97676274060035</v>
      </c>
      <c r="U16" s="66">
        <v>300</v>
      </c>
      <c r="V16" s="66">
        <f t="shared" si="4"/>
        <v>90</v>
      </c>
    </row>
    <row r="17" spans="2:23" hidden="1" x14ac:dyDescent="0.25">
      <c r="B17" s="97" t="str">
        <f>+Ruta!B17</f>
        <v>SI</v>
      </c>
      <c r="C17" s="97">
        <f>+Ruta!C17</f>
        <v>14</v>
      </c>
      <c r="D17" s="97" t="str">
        <f>+Ruta!D17</f>
        <v>Cali</v>
      </c>
      <c r="E17" s="97" t="str">
        <f>+Ruta!E17</f>
        <v xml:space="preserve">Mayorista </v>
      </c>
      <c r="F17" s="97" t="str">
        <f>+Ruta!F17</f>
        <v>Edwin Polanco</v>
      </c>
      <c r="G17" s="97" t="str">
        <f>+Ruta!G17</f>
        <v>Licores La Amistad</v>
      </c>
      <c r="H17" s="97">
        <f>+Ruta!H17</f>
        <v>4471825</v>
      </c>
      <c r="I17" s="97" t="str">
        <f>+Ruta!I17</f>
        <v>Marques 3años Botella + Can Agte  - Marques 3años Botella  + Can Marques 3años -Marques Bot 3años P2 x 3 - Marques Can P2 X3 - Marques 8años + Can 3 años - shot x Bot s,a - 2shot por Garrafa</v>
      </c>
      <c r="J17" s="97" t="str">
        <f>+Ruta!J17</f>
        <v>Calle 46c # 5-01</v>
      </c>
      <c r="K17" s="97">
        <f>+Ruta!K17</f>
        <v>0</v>
      </c>
      <c r="L17" s="100">
        <v>1200</v>
      </c>
      <c r="M17" s="78">
        <f>+Ruta!R17</f>
        <v>2280</v>
      </c>
      <c r="N17" s="96">
        <v>7.5795352548120073E-2</v>
      </c>
      <c r="O17" s="66">
        <f t="shared" si="0"/>
        <v>75.795352548120078</v>
      </c>
      <c r="P17" s="67">
        <v>64</v>
      </c>
      <c r="Q17" s="66">
        <v>64</v>
      </c>
      <c r="R17" s="66">
        <f t="shared" si="1"/>
        <v>227.38605764436022</v>
      </c>
      <c r="S17" s="66">
        <v>150</v>
      </c>
      <c r="T17" s="66">
        <f t="shared" si="3"/>
        <v>757.9535254812007</v>
      </c>
      <c r="U17" s="66">
        <v>565</v>
      </c>
      <c r="V17" s="66">
        <f t="shared" si="4"/>
        <v>150</v>
      </c>
    </row>
    <row r="18" spans="2:23" hidden="1" x14ac:dyDescent="0.25">
      <c r="B18" s="97" t="str">
        <f>+Ruta!B18</f>
        <v>SI</v>
      </c>
      <c r="C18" s="97">
        <f>+Ruta!C18</f>
        <v>15</v>
      </c>
      <c r="D18" s="97" t="str">
        <f>+Ruta!D18</f>
        <v>Cali</v>
      </c>
      <c r="E18" s="97" t="str">
        <f>+Ruta!E18</f>
        <v xml:space="preserve">Mayorista </v>
      </c>
      <c r="F18" s="97" t="str">
        <f>+Ruta!F18</f>
        <v>Edwin Polanco</v>
      </c>
      <c r="G18" s="97" t="str">
        <f>+Ruta!G18</f>
        <v xml:space="preserve">Los Gemelos </v>
      </c>
      <c r="H18" s="97">
        <f>+Ruta!H18</f>
        <v>4489216</v>
      </c>
      <c r="I18" s="97" t="str">
        <f>+Ruta!I18</f>
        <v>Marques 3años Botella + Can Agte  - Marques 3años Botella + Can Marques 3años - Marques Can P2 X3</v>
      </c>
      <c r="J18" s="97" t="str">
        <f>+Ruta!J18</f>
        <v>Calle 44 # 6n-57</v>
      </c>
      <c r="K18" s="97">
        <f>+Ruta!K18</f>
        <v>0</v>
      </c>
      <c r="L18" s="100">
        <v>720</v>
      </c>
      <c r="M18" s="78">
        <f>+Ruta!R18</f>
        <v>1260</v>
      </c>
      <c r="N18" s="96">
        <v>4.1886905355540044E-2</v>
      </c>
      <c r="O18" s="66">
        <f t="shared" si="0"/>
        <v>41.886905355540044</v>
      </c>
      <c r="P18" s="67">
        <v>40</v>
      </c>
      <c r="Q18" s="66">
        <v>40</v>
      </c>
      <c r="R18" s="66">
        <f t="shared" si="1"/>
        <v>125.66071606662013</v>
      </c>
      <c r="S18" s="66">
        <v>100</v>
      </c>
      <c r="T18" s="66">
        <f t="shared" si="3"/>
        <v>418.86905355540046</v>
      </c>
      <c r="U18" s="66">
        <v>350</v>
      </c>
      <c r="V18" s="66">
        <f t="shared" si="4"/>
        <v>100</v>
      </c>
    </row>
    <row r="19" spans="2:23" hidden="1" x14ac:dyDescent="0.25">
      <c r="B19" s="97" t="str">
        <f>+Ruta!B19</f>
        <v>SI</v>
      </c>
      <c r="C19" s="97">
        <f>+Ruta!C19</f>
        <v>16</v>
      </c>
      <c r="D19" s="97" t="str">
        <f>+Ruta!D19</f>
        <v xml:space="preserve">Cali </v>
      </c>
      <c r="E19" s="97" t="str">
        <f>+Ruta!E19</f>
        <v xml:space="preserve">Mayorista </v>
      </c>
      <c r="F19" s="97" t="str">
        <f>+Ruta!F19</f>
        <v>Edwin Polanco</v>
      </c>
      <c r="G19" s="97" t="str">
        <f>+Ruta!G19</f>
        <v>El amigo de la Noche</v>
      </c>
      <c r="H19" s="97" t="str">
        <f>+Ruta!H19</f>
        <v>App</v>
      </c>
      <c r="I19" s="97" t="str">
        <f>+Ruta!I19</f>
        <v>Marques 3años Botella + Can Agte  - Marques 3años Botella  + Can Marques 3años -Marques Bot 3años P2 x 3 - Marques Can P2 X3 - Marques 8años + Can 3 años - shot x Bot s,a - 2shock por Garrafa</v>
      </c>
      <c r="J19" s="97" t="str">
        <f>+Ruta!J19</f>
        <v>App</v>
      </c>
      <c r="K19" s="97">
        <f>+Ruta!K19</f>
        <v>0</v>
      </c>
      <c r="L19" s="100">
        <v>144</v>
      </c>
      <c r="M19" s="78">
        <f>+Ruta!R19</f>
        <v>480</v>
      </c>
      <c r="N19" s="96">
        <v>1.5956916325920015E-2</v>
      </c>
      <c r="O19" s="66">
        <f t="shared" si="0"/>
        <v>15.956916325920014</v>
      </c>
      <c r="P19" s="67">
        <v>20</v>
      </c>
      <c r="Q19" s="66">
        <v>20</v>
      </c>
      <c r="R19" s="66">
        <f t="shared" si="1"/>
        <v>47.870748977760044</v>
      </c>
      <c r="S19" s="66">
        <v>50</v>
      </c>
      <c r="T19" s="66">
        <f t="shared" si="3"/>
        <v>159.56916325920014</v>
      </c>
      <c r="U19" s="66">
        <v>160</v>
      </c>
      <c r="V19" s="66">
        <f t="shared" si="4"/>
        <v>50</v>
      </c>
    </row>
    <row r="20" spans="2:23" hidden="1" x14ac:dyDescent="0.25">
      <c r="B20" s="97" t="str">
        <f>+Ruta!B20</f>
        <v>SI</v>
      </c>
      <c r="C20" s="97">
        <f>+Ruta!C20</f>
        <v>17</v>
      </c>
      <c r="D20" s="97" t="str">
        <f>+Ruta!D20</f>
        <v xml:space="preserve">Cali </v>
      </c>
      <c r="E20" s="97" t="str">
        <f>+Ruta!E20</f>
        <v xml:space="preserve">Mayorista </v>
      </c>
      <c r="F20" s="97" t="str">
        <f>+Ruta!F20</f>
        <v>Edwin Polanco</v>
      </c>
      <c r="G20" s="97" t="str">
        <f>+Ruta!G20</f>
        <v>La Rebaja</v>
      </c>
      <c r="H20" s="97" t="str">
        <f>+Ruta!H20</f>
        <v>App</v>
      </c>
      <c r="I20" s="97" t="str">
        <f>+Ruta!I20</f>
        <v>Marques 3años Botella + Can Agte  - Marques 3años Botella + Can Marques 3años - Marques Can P2 X3 - shock x Bot s,a - 2shot por Garrafa</v>
      </c>
      <c r="J20" s="97" t="str">
        <f>+Ruta!J20</f>
        <v>Carrera 15 #33b-30</v>
      </c>
      <c r="K20" s="97">
        <f>+Ruta!K20</f>
        <v>0</v>
      </c>
      <c r="L20" s="100">
        <v>264</v>
      </c>
      <c r="M20" s="78">
        <f>+Ruta!R20</f>
        <v>1440</v>
      </c>
      <c r="N20" s="96">
        <v>4.7870748977760051E-2</v>
      </c>
      <c r="O20" s="66">
        <f t="shared" si="0"/>
        <v>47.870748977760051</v>
      </c>
      <c r="P20" s="67">
        <v>50</v>
      </c>
      <c r="Q20" s="66">
        <v>50</v>
      </c>
      <c r="R20" s="66">
        <f t="shared" si="1"/>
        <v>143.61224693328015</v>
      </c>
      <c r="S20" s="66">
        <v>120</v>
      </c>
      <c r="T20" s="66">
        <f t="shared" si="3"/>
        <v>478.70748977760053</v>
      </c>
      <c r="U20" s="66">
        <v>450</v>
      </c>
      <c r="V20" s="66">
        <f t="shared" si="4"/>
        <v>120</v>
      </c>
    </row>
    <row r="21" spans="2:23" hidden="1" x14ac:dyDescent="0.25">
      <c r="B21" s="97" t="str">
        <f>+Ruta!B21</f>
        <v>SI</v>
      </c>
      <c r="C21" s="97">
        <f>+Ruta!C21</f>
        <v>18</v>
      </c>
      <c r="D21" s="97" t="str">
        <f>+Ruta!D21</f>
        <v>Buenaventura</v>
      </c>
      <c r="E21" s="97" t="str">
        <f>+Ruta!E21</f>
        <v xml:space="preserve">Mayorista </v>
      </c>
      <c r="F21" s="97" t="str">
        <f>+Ruta!F21</f>
        <v>Edwin Polanco</v>
      </c>
      <c r="G21" s="97" t="str">
        <f>+Ruta!G21</f>
        <v>Casablanca</v>
      </c>
      <c r="H21" s="97">
        <f>+Ruta!H21</f>
        <v>2433412</v>
      </c>
      <c r="I21" s="97" t="str">
        <f>+Ruta!I21</f>
        <v>Marques 3años Botella + Can Agte  - Marques 3años Botella  + Can Marques 3años -Marques Bot 3años P2 x 3 - Marques Can P2 X3 - Marques 8años + Can 3 años</v>
      </c>
      <c r="J21" s="97" t="str">
        <f>+Ruta!J21</f>
        <v>calle 3 # 18-42</v>
      </c>
      <c r="K21" s="97">
        <f>+Ruta!K21</f>
        <v>0</v>
      </c>
      <c r="L21" s="100">
        <v>576</v>
      </c>
      <c r="M21" s="78">
        <f>+Ruta!R21</f>
        <v>2400</v>
      </c>
      <c r="N21" s="96">
        <v>7.9784581629600074E-2</v>
      </c>
      <c r="O21" s="66">
        <f t="shared" si="0"/>
        <v>79.784581629600069</v>
      </c>
      <c r="P21" s="67">
        <v>50</v>
      </c>
      <c r="Q21" s="66">
        <v>50</v>
      </c>
      <c r="R21" s="66">
        <f>+R$3*N21</f>
        <v>239.35374488880021</v>
      </c>
      <c r="S21" s="66">
        <v>160</v>
      </c>
      <c r="T21" s="66">
        <f t="shared" si="3"/>
        <v>797.84581629600075</v>
      </c>
      <c r="U21" s="66">
        <v>550</v>
      </c>
      <c r="V21" s="66">
        <f t="shared" si="4"/>
        <v>160</v>
      </c>
    </row>
    <row r="22" spans="2:23" hidden="1" x14ac:dyDescent="0.25">
      <c r="B22" s="97" t="str">
        <f>+Ruta!B22</f>
        <v>SI</v>
      </c>
      <c r="C22" s="97">
        <f>+Ruta!C22</f>
        <v>19</v>
      </c>
      <c r="D22" s="97" t="str">
        <f>+Ruta!D22</f>
        <v>Buenaventura</v>
      </c>
      <c r="E22" s="97" t="str">
        <f>+Ruta!E22</f>
        <v xml:space="preserve">Mayorista </v>
      </c>
      <c r="F22" s="97" t="str">
        <f>+Ruta!F22</f>
        <v>Edwin Polanco</v>
      </c>
      <c r="G22" s="97" t="str">
        <f>+Ruta!G22</f>
        <v>La Rebajona</v>
      </c>
      <c r="H22" s="97">
        <f>+Ruta!H22</f>
        <v>2416300</v>
      </c>
      <c r="I22" s="97" t="str">
        <f>+Ruta!I22</f>
        <v>Marques 3años Botella + Can Agte  - Marques 3años Botella  + Can Marques 3años</v>
      </c>
      <c r="J22" s="97" t="str">
        <f>+Ruta!J22</f>
        <v>carrera 6 # 4a-54</v>
      </c>
      <c r="K22" s="97">
        <f>+Ruta!K22</f>
        <v>0</v>
      </c>
      <c r="L22" s="100">
        <v>144</v>
      </c>
      <c r="M22" s="78">
        <f>+Ruta!R22</f>
        <v>168</v>
      </c>
      <c r="N22" s="96">
        <v>5.5849207140720057E-3</v>
      </c>
      <c r="O22" s="66">
        <f t="shared" si="0"/>
        <v>5.5849207140720054</v>
      </c>
      <c r="P22" s="67">
        <v>15</v>
      </c>
      <c r="Q22" s="66">
        <v>15</v>
      </c>
      <c r="R22" s="66">
        <f t="shared" si="1"/>
        <v>16.754762142216016</v>
      </c>
      <c r="S22" s="66">
        <v>15</v>
      </c>
      <c r="T22" s="66">
        <f t="shared" si="3"/>
        <v>55.849207140720054</v>
      </c>
      <c r="U22" s="66">
        <v>50</v>
      </c>
      <c r="V22" s="66">
        <f t="shared" si="4"/>
        <v>15</v>
      </c>
    </row>
    <row r="23" spans="2:23" hidden="1" x14ac:dyDescent="0.25">
      <c r="B23" s="97" t="str">
        <f>+Ruta!B23</f>
        <v>SI</v>
      </c>
      <c r="C23" s="97">
        <f>+Ruta!C23</f>
        <v>20</v>
      </c>
      <c r="D23" s="97" t="str">
        <f>+Ruta!D23</f>
        <v>Tuluá</v>
      </c>
      <c r="E23" s="97" t="str">
        <f>+Ruta!E23</f>
        <v>Supermercado</v>
      </c>
      <c r="F23" s="97" t="str">
        <f>+Ruta!F23</f>
        <v>Lina Colonia</v>
      </c>
      <c r="G23" s="97" t="str">
        <f>+Ruta!G23</f>
        <v>Autoservicio Mi Barrio</v>
      </c>
      <c r="H23" s="97" t="str">
        <f>+Ruta!H23</f>
        <v>312 806 22 21</v>
      </c>
      <c r="I23" s="97">
        <f>+Ruta!I23</f>
        <v>0</v>
      </c>
      <c r="J23" s="97" t="str">
        <f>+Ruta!J23</f>
        <v>Carrera 24 # 36 - 04</v>
      </c>
      <c r="K23" s="97">
        <f>+Ruta!K23</f>
        <v>0</v>
      </c>
      <c r="L23" s="78">
        <v>12</v>
      </c>
      <c r="M23" s="78">
        <f>+Ruta!R23</f>
        <v>36</v>
      </c>
      <c r="N23" s="96">
        <v>1.1967687244440013E-3</v>
      </c>
      <c r="O23" s="66">
        <f t="shared" si="0"/>
        <v>1.1967687244440013</v>
      </c>
      <c r="P23" s="67">
        <v>3</v>
      </c>
      <c r="Q23" s="66">
        <v>3</v>
      </c>
      <c r="R23" s="66">
        <f t="shared" si="1"/>
        <v>3.5903061733320039</v>
      </c>
      <c r="S23" s="66">
        <f t="shared" si="2"/>
        <v>9</v>
      </c>
      <c r="T23" s="66">
        <f t="shared" si="3"/>
        <v>11.967687244440013</v>
      </c>
      <c r="U23" s="66">
        <f t="shared" si="5"/>
        <v>30</v>
      </c>
      <c r="V23" s="66">
        <f t="shared" si="4"/>
        <v>9</v>
      </c>
    </row>
    <row r="24" spans="2:23" hidden="1" x14ac:dyDescent="0.25">
      <c r="B24" s="97" t="str">
        <f>+Ruta!B24</f>
        <v>SI</v>
      </c>
      <c r="C24" s="97">
        <f>+Ruta!C24</f>
        <v>21</v>
      </c>
      <c r="D24" s="97" t="str">
        <f>+Ruta!D24</f>
        <v>Tuluá</v>
      </c>
      <c r="E24" s="97" t="str">
        <f>+Ruta!E24</f>
        <v xml:space="preserve">Mayorista </v>
      </c>
      <c r="F24" s="97" t="str">
        <f>+Ruta!F24</f>
        <v>Lina Colonia</v>
      </c>
      <c r="G24" s="97" t="str">
        <f>+Ruta!G24</f>
        <v>Bodega La Esperanza</v>
      </c>
      <c r="H24" s="97" t="str">
        <f>+Ruta!H24</f>
        <v>316 253 5816</v>
      </c>
      <c r="I24" s="97" t="str">
        <f>+Ruta!I24</f>
        <v xml:space="preserve">Marques 3años Botella + Can Agte   -Marques Bot 3años P2 x 3 </v>
      </c>
      <c r="J24" s="97" t="str">
        <f>+Ruta!J24</f>
        <v>Carrera 23 # 29-04</v>
      </c>
      <c r="K24" s="97">
        <f>+Ruta!K24</f>
        <v>0</v>
      </c>
      <c r="L24" s="78">
        <v>72</v>
      </c>
      <c r="M24" s="78">
        <f>+Ruta!R24</f>
        <v>230</v>
      </c>
      <c r="N24" s="96">
        <v>7.6460224061700079E-3</v>
      </c>
      <c r="O24" s="66">
        <f t="shared" si="0"/>
        <v>7.6460224061700082</v>
      </c>
      <c r="P24" s="67">
        <v>8.9397461112104413</v>
      </c>
      <c r="Q24" s="66">
        <v>8.9397461112104413</v>
      </c>
      <c r="R24" s="66">
        <f t="shared" si="1"/>
        <v>22.938067218510025</v>
      </c>
      <c r="S24" s="66">
        <v>30</v>
      </c>
      <c r="T24" s="66">
        <f t="shared" si="3"/>
        <v>76.460224061700075</v>
      </c>
      <c r="U24" s="66">
        <v>76</v>
      </c>
      <c r="V24" s="66">
        <f t="shared" si="4"/>
        <v>30</v>
      </c>
      <c r="W24" s="80">
        <f>+V24/24</f>
        <v>1.25</v>
      </c>
    </row>
    <row r="25" spans="2:23" hidden="1" x14ac:dyDescent="0.25">
      <c r="B25" s="97" t="str">
        <f>+Ruta!B25</f>
        <v>SI</v>
      </c>
      <c r="C25" s="97">
        <f>+Ruta!C25</f>
        <v>22</v>
      </c>
      <c r="D25" s="97" t="str">
        <f>+Ruta!D25</f>
        <v>Tuluá</v>
      </c>
      <c r="E25" s="97" t="str">
        <f>+Ruta!E25</f>
        <v xml:space="preserve">Mayorista </v>
      </c>
      <c r="F25" s="97" t="str">
        <f>+Ruta!F25</f>
        <v>Lina Colonia</v>
      </c>
      <c r="G25" s="97" t="str">
        <f>+Ruta!G25</f>
        <v>Distribuidora Farallón</v>
      </c>
      <c r="H25" s="97" t="str">
        <f>+Ruta!H25</f>
        <v>311 334 1151</v>
      </c>
      <c r="I25" s="97" t="str">
        <f>+Ruta!I25</f>
        <v xml:space="preserve">Marques 3años Botella + Can Agte </v>
      </c>
      <c r="J25" s="97" t="str">
        <f>+Ruta!J25</f>
        <v>Carrera 22 Calle 28</v>
      </c>
      <c r="K25" s="97">
        <f>+Ruta!K25</f>
        <v>0</v>
      </c>
      <c r="L25" s="78">
        <v>100</v>
      </c>
      <c r="M25" s="78">
        <f>+Ruta!R25</f>
        <v>3000</v>
      </c>
      <c r="N25" s="96">
        <v>9.9730727037000103E-2</v>
      </c>
      <c r="O25" s="66">
        <f t="shared" si="0"/>
        <v>99.730727037000108</v>
      </c>
      <c r="P25" s="67">
        <v>80</v>
      </c>
      <c r="Q25" s="66">
        <v>80</v>
      </c>
      <c r="R25" s="66">
        <f t="shared" si="1"/>
        <v>299.19218111100031</v>
      </c>
      <c r="S25" s="66">
        <v>210</v>
      </c>
      <c r="T25" s="66">
        <f t="shared" si="3"/>
        <v>997.30727037000099</v>
      </c>
      <c r="U25" s="66">
        <v>700</v>
      </c>
      <c r="V25" s="66">
        <f t="shared" si="4"/>
        <v>210</v>
      </c>
      <c r="W25" s="41">
        <f>+V25/24</f>
        <v>8.75</v>
      </c>
    </row>
    <row r="26" spans="2:23" hidden="1" x14ac:dyDescent="0.25">
      <c r="B26" s="97" t="str">
        <f>+Ruta!B26</f>
        <v>SI</v>
      </c>
      <c r="C26" s="97">
        <f>+Ruta!C26</f>
        <v>23</v>
      </c>
      <c r="D26" s="97" t="str">
        <f>+Ruta!D26</f>
        <v>Tuluá</v>
      </c>
      <c r="E26" s="97" t="str">
        <f>+Ruta!E26</f>
        <v>Licorera</v>
      </c>
      <c r="F26" s="97" t="str">
        <f>+Ruta!F26</f>
        <v>Lina Colonia</v>
      </c>
      <c r="G26" s="97" t="str">
        <f>+Ruta!G26</f>
        <v>Licores Junior La 28</v>
      </c>
      <c r="H26" s="97">
        <f>+Ruta!H26</f>
        <v>2320073</v>
      </c>
      <c r="I26" s="97">
        <f>+Ruta!I26</f>
        <v>0</v>
      </c>
      <c r="J26" s="97" t="str">
        <f>+Ruta!J26</f>
        <v>Calle 28 # 22-56</v>
      </c>
      <c r="K26" s="97">
        <f>+Ruta!K26</f>
        <v>0</v>
      </c>
      <c r="L26" s="78">
        <v>36</v>
      </c>
      <c r="M26" s="78">
        <f>+Ruta!R26</f>
        <v>240</v>
      </c>
      <c r="N26" s="96">
        <v>7.9784581629600074E-3</v>
      </c>
      <c r="O26" s="66">
        <f t="shared" si="0"/>
        <v>7.9784581629600071</v>
      </c>
      <c r="P26" s="67">
        <v>8.9397461112104413</v>
      </c>
      <c r="Q26" s="66">
        <v>8.9397461112104413</v>
      </c>
      <c r="R26" s="66">
        <f t="shared" si="1"/>
        <v>23.935374488880022</v>
      </c>
      <c r="S26" s="66">
        <f t="shared" si="2"/>
        <v>26.819238333631326</v>
      </c>
      <c r="T26" s="66">
        <f t="shared" si="3"/>
        <v>79.784581629600069</v>
      </c>
      <c r="U26" s="66">
        <f t="shared" si="5"/>
        <v>89.397461112104409</v>
      </c>
      <c r="V26" s="66">
        <f t="shared" si="4"/>
        <v>26.819238333631326</v>
      </c>
    </row>
    <row r="27" spans="2:23" hidden="1" x14ac:dyDescent="0.25">
      <c r="B27" s="97" t="str">
        <f>+Ruta!B27</f>
        <v>SI</v>
      </c>
      <c r="C27" s="97">
        <f>+Ruta!C27</f>
        <v>24</v>
      </c>
      <c r="D27" s="97" t="str">
        <f>+Ruta!D27</f>
        <v>Tuluá</v>
      </c>
      <c r="E27" s="97" t="str">
        <f>+Ruta!E27</f>
        <v xml:space="preserve">Mayorista </v>
      </c>
      <c r="F27" s="97" t="str">
        <f>+Ruta!F27</f>
        <v>Lina Colonia</v>
      </c>
      <c r="G27" s="97" t="str">
        <f>+Ruta!G27</f>
        <v>Distribuidora La Madeja</v>
      </c>
      <c r="H27" s="97" t="str">
        <f>+Ruta!H27</f>
        <v>317 789 75 09</v>
      </c>
      <c r="I27" s="97" t="str">
        <f>+Ruta!I27</f>
        <v xml:space="preserve">Marques 3años Botella + Can Agte </v>
      </c>
      <c r="J27" s="97" t="str">
        <f>+Ruta!J27</f>
        <v>Calle 29 # 22-36</v>
      </c>
      <c r="K27" s="97">
        <f>+Ruta!K27</f>
        <v>0</v>
      </c>
      <c r="L27" s="78">
        <f>9*12</f>
        <v>108</v>
      </c>
      <c r="M27" s="78">
        <f>+Ruta!R27</f>
        <v>165</v>
      </c>
      <c r="N27" s="96">
        <v>5.4851899870350055E-3</v>
      </c>
      <c r="O27" s="66">
        <f t="shared" si="0"/>
        <v>5.4851899870350058</v>
      </c>
      <c r="P27" s="67">
        <v>6.0790273556231007</v>
      </c>
      <c r="Q27" s="66">
        <v>6.0790273556231007</v>
      </c>
      <c r="R27" s="66">
        <f t="shared" si="1"/>
        <v>16.455569961105017</v>
      </c>
      <c r="S27" s="66">
        <f t="shared" si="2"/>
        <v>18.237082066869302</v>
      </c>
      <c r="T27" s="66">
        <f t="shared" si="3"/>
        <v>54.851899870350053</v>
      </c>
      <c r="U27" s="66">
        <f t="shared" si="5"/>
        <v>60.790273556231007</v>
      </c>
      <c r="V27" s="66">
        <f t="shared" si="4"/>
        <v>18.237082066869302</v>
      </c>
    </row>
    <row r="28" spans="2:23" x14ac:dyDescent="0.25">
      <c r="B28" s="97" t="str">
        <f>+Ruta!B28</f>
        <v>SI</v>
      </c>
      <c r="C28" s="97">
        <f>+Ruta!C28</f>
        <v>25</v>
      </c>
      <c r="D28" s="97" t="str">
        <f>+Ruta!D28</f>
        <v>Buga</v>
      </c>
      <c r="E28" s="97" t="str">
        <f>+Ruta!E28</f>
        <v xml:space="preserve">Mayorista </v>
      </c>
      <c r="F28" s="97" t="str">
        <f>+Ruta!F28</f>
        <v>Lina Colonia</v>
      </c>
      <c r="G28" s="97" t="str">
        <f>+Ruta!G28</f>
        <v>Distribuidora El Madejón</v>
      </c>
      <c r="H28" s="97" t="str">
        <f>+Ruta!H28</f>
        <v>310 413 95 50</v>
      </c>
      <c r="I28" s="97" t="str">
        <f>+Ruta!I28</f>
        <v>Marques 3años Botella + Can Agte  - Marques 3años Botella  + Can Marques 3años - Marques Can P2 X3</v>
      </c>
      <c r="J28" s="97" t="str">
        <f>+Ruta!J28</f>
        <v>Calle 9 # 12 - 10</v>
      </c>
      <c r="K28" s="97">
        <f>+Ruta!K28</f>
        <v>0</v>
      </c>
      <c r="L28" s="78">
        <f>15*12</f>
        <v>180</v>
      </c>
      <c r="M28" s="78">
        <f>+Ruta!R28</f>
        <v>500</v>
      </c>
      <c r="N28" s="96">
        <v>1.6621787839500017E-2</v>
      </c>
      <c r="O28" s="66">
        <f t="shared" si="0"/>
        <v>16.621787839500016</v>
      </c>
      <c r="P28" s="67">
        <v>17.879492222420883</v>
      </c>
      <c r="Q28" s="66">
        <v>17.879492222420883</v>
      </c>
      <c r="R28" s="66">
        <f t="shared" si="1"/>
        <v>49.865363518500054</v>
      </c>
      <c r="S28" s="66">
        <v>50</v>
      </c>
      <c r="T28" s="66">
        <f t="shared" si="3"/>
        <v>166.21787839500018</v>
      </c>
      <c r="U28" s="66">
        <v>166</v>
      </c>
      <c r="V28" s="66">
        <f t="shared" si="4"/>
        <v>50</v>
      </c>
      <c r="W28" s="80">
        <f>+V28/24</f>
        <v>2.0833333333333335</v>
      </c>
    </row>
    <row r="29" spans="2:23" hidden="1" x14ac:dyDescent="0.25">
      <c r="B29" s="97" t="str">
        <f>+Ruta!B29</f>
        <v>SI</v>
      </c>
      <c r="C29" s="97">
        <f>+Ruta!C29</f>
        <v>26</v>
      </c>
      <c r="D29" s="97" t="str">
        <f>+Ruta!D29</f>
        <v>Andalucía</v>
      </c>
      <c r="E29" s="97" t="str">
        <f>+Ruta!E29</f>
        <v xml:space="preserve">Mayorista </v>
      </c>
      <c r="F29" s="97" t="str">
        <f>+Ruta!F29</f>
        <v>Lina Colonia</v>
      </c>
      <c r="G29" s="97" t="str">
        <f>+Ruta!G29</f>
        <v>Distribuidora Central de Andalucía</v>
      </c>
      <c r="H29" s="97" t="str">
        <f>+Ruta!H29</f>
        <v>314 761 70 13</v>
      </c>
      <c r="I29" s="97" t="str">
        <f>+Ruta!I29</f>
        <v>Marques 3años Botella + Can Agte  - Marques 3años Botella  + Can Marques 3años - Marques Can P2 X3</v>
      </c>
      <c r="J29" s="97" t="str">
        <f>+Ruta!J29</f>
        <v>Carrera 5 # 12 - 67</v>
      </c>
      <c r="K29" s="97">
        <f>+Ruta!K29</f>
        <v>0</v>
      </c>
      <c r="L29" s="78">
        <f>3*12</f>
        <v>36</v>
      </c>
      <c r="M29" s="78">
        <f>+Ruta!R29</f>
        <v>750</v>
      </c>
      <c r="N29" s="96">
        <v>2.4932681759250026E-2</v>
      </c>
      <c r="O29" s="66">
        <f t="shared" si="0"/>
        <v>24.932681759250027</v>
      </c>
      <c r="P29" s="67">
        <v>20</v>
      </c>
      <c r="Q29" s="66">
        <v>20</v>
      </c>
      <c r="R29" s="66">
        <f t="shared" si="1"/>
        <v>74.798045277750077</v>
      </c>
      <c r="S29" s="66">
        <f t="shared" si="2"/>
        <v>60</v>
      </c>
      <c r="T29" s="66">
        <f t="shared" si="3"/>
        <v>249.32681759250025</v>
      </c>
      <c r="U29" s="66">
        <f t="shared" si="5"/>
        <v>200</v>
      </c>
      <c r="V29" s="66">
        <f t="shared" si="4"/>
        <v>60</v>
      </c>
    </row>
    <row r="30" spans="2:23" hidden="1" x14ac:dyDescent="0.25">
      <c r="B30" s="97" t="str">
        <f>+Ruta!B30</f>
        <v>SI</v>
      </c>
      <c r="C30" s="97">
        <f>+Ruta!C30</f>
        <v>27</v>
      </c>
      <c r="D30" s="97" t="str">
        <f>+Ruta!D30</f>
        <v>Tuluá</v>
      </c>
      <c r="E30" s="97" t="str">
        <f>+Ruta!E30</f>
        <v xml:space="preserve">Mayorista </v>
      </c>
      <c r="F30" s="97" t="str">
        <f>+Ruta!F30</f>
        <v>Lina Colonia</v>
      </c>
      <c r="G30" s="97" t="str">
        <f>+Ruta!G30</f>
        <v>Autoservicio El Campesino</v>
      </c>
      <c r="H30" s="97" t="str">
        <f>+Ruta!H30</f>
        <v>224 4272</v>
      </c>
      <c r="I30" s="97" t="str">
        <f>+Ruta!I30</f>
        <v xml:space="preserve">Marques 3años Botella + Can Agte </v>
      </c>
      <c r="J30" s="97" t="str">
        <f>+Ruta!J30</f>
        <v>Carrera 22 Calle 29</v>
      </c>
      <c r="K30" s="97">
        <f>+Ruta!K30</f>
        <v>0</v>
      </c>
      <c r="L30" s="78">
        <f>5*12</f>
        <v>60</v>
      </c>
      <c r="M30" s="78">
        <f>+Ruta!R30</f>
        <v>230</v>
      </c>
      <c r="N30" s="96">
        <v>7.6460224061700079E-3</v>
      </c>
      <c r="O30" s="66">
        <f t="shared" si="0"/>
        <v>7.6460224061700082</v>
      </c>
      <c r="P30" s="67">
        <v>8.9397461112104413</v>
      </c>
      <c r="Q30" s="66">
        <v>8.9397461112104413</v>
      </c>
      <c r="R30" s="66">
        <f t="shared" si="1"/>
        <v>22.938067218510025</v>
      </c>
      <c r="S30" s="66">
        <v>28</v>
      </c>
      <c r="T30" s="66">
        <f t="shared" si="3"/>
        <v>76.460224061700075</v>
      </c>
      <c r="U30" s="66">
        <f t="shared" si="5"/>
        <v>89.397461112104409</v>
      </c>
      <c r="V30" s="66">
        <f t="shared" si="4"/>
        <v>28</v>
      </c>
    </row>
    <row r="31" spans="2:23" hidden="1" x14ac:dyDescent="0.25">
      <c r="B31" s="97" t="str">
        <f>+Ruta!B31</f>
        <v>NO</v>
      </c>
      <c r="C31" s="97">
        <f>+Ruta!C31</f>
        <v>28</v>
      </c>
      <c r="D31" s="97" t="str">
        <f>+Ruta!D31</f>
        <v>Tuluá</v>
      </c>
      <c r="E31" s="97" t="str">
        <f>+Ruta!E31</f>
        <v>Licorera</v>
      </c>
      <c r="F31" s="97" t="str">
        <f>+Ruta!F31</f>
        <v>Lina Colonia</v>
      </c>
      <c r="G31" s="97" t="str">
        <f>+Ruta!G31</f>
        <v>Licorera del Parque</v>
      </c>
      <c r="H31" s="97" t="str">
        <f>+Ruta!H31</f>
        <v>317 550 3193</v>
      </c>
      <c r="I31" s="97" t="str">
        <f>+Ruta!I31</f>
        <v xml:space="preserve">Marques 3años Botella + Can Agte </v>
      </c>
      <c r="J31" s="97" t="str">
        <f>+Ruta!J31</f>
        <v>Calle 25 # 26-15</v>
      </c>
      <c r="K31" s="97">
        <f>+Ruta!K31</f>
        <v>0</v>
      </c>
      <c r="L31" s="101">
        <v>0</v>
      </c>
      <c r="M31" s="78">
        <f>+Ruta!R31</f>
        <v>0</v>
      </c>
      <c r="N31" s="96">
        <v>0</v>
      </c>
      <c r="O31" s="66">
        <f t="shared" si="0"/>
        <v>0</v>
      </c>
      <c r="P31" s="67"/>
      <c r="Q31" s="66">
        <v>0</v>
      </c>
      <c r="R31" s="66">
        <f t="shared" si="1"/>
        <v>0</v>
      </c>
      <c r="S31" s="66">
        <f t="shared" si="2"/>
        <v>0</v>
      </c>
      <c r="T31" s="66">
        <f t="shared" si="3"/>
        <v>0</v>
      </c>
      <c r="U31" s="66">
        <f t="shared" si="5"/>
        <v>0</v>
      </c>
      <c r="V31" s="66">
        <f t="shared" si="4"/>
        <v>0</v>
      </c>
    </row>
    <row r="32" spans="2:23" hidden="1" x14ac:dyDescent="0.25">
      <c r="B32" s="97" t="str">
        <f>+Ruta!B32</f>
        <v>SI</v>
      </c>
      <c r="C32" s="97">
        <f>+Ruta!C32</f>
        <v>29</v>
      </c>
      <c r="D32" s="97" t="str">
        <f>+Ruta!D32</f>
        <v>Trujillo</v>
      </c>
      <c r="E32" s="97" t="str">
        <f>+Ruta!E32</f>
        <v>Licorera</v>
      </c>
      <c r="F32" s="97" t="str">
        <f>+Ruta!F32</f>
        <v>Lina Colonia</v>
      </c>
      <c r="G32" s="97" t="str">
        <f>+Ruta!G32</f>
        <v>Licorera El Alambique</v>
      </c>
      <c r="H32" s="97" t="str">
        <f>+Ruta!H32</f>
        <v>312 736 9212</v>
      </c>
      <c r="I32" s="97" t="str">
        <f>+Ruta!I32</f>
        <v xml:space="preserve">Marques 3años Botella + Can Agte </v>
      </c>
      <c r="J32" s="97" t="str">
        <f>+Ruta!J32</f>
        <v>Carrera 19 # 19-22</v>
      </c>
      <c r="K32" s="97">
        <f>+Ruta!K32</f>
        <v>0</v>
      </c>
      <c r="L32" s="78">
        <f>5*12</f>
        <v>60</v>
      </c>
      <c r="M32" s="78">
        <f>+Ruta!R32</f>
        <v>155</v>
      </c>
      <c r="N32" s="96">
        <v>5.1527542302450052E-3</v>
      </c>
      <c r="O32" s="66">
        <f t="shared" si="0"/>
        <v>5.1527542302450051</v>
      </c>
      <c r="P32" s="67">
        <v>5.7214375111746829</v>
      </c>
      <c r="Q32" s="66">
        <v>5.7214375111746829</v>
      </c>
      <c r="R32" s="66">
        <f>+R$3*N32</f>
        <v>15.458262690735015</v>
      </c>
      <c r="S32" s="66">
        <v>18</v>
      </c>
      <c r="T32" s="66">
        <f t="shared" si="3"/>
        <v>51.527542302450051</v>
      </c>
      <c r="U32" s="66">
        <v>50</v>
      </c>
      <c r="V32" s="66">
        <f t="shared" si="4"/>
        <v>18</v>
      </c>
    </row>
    <row r="33" spans="2:23" hidden="1" x14ac:dyDescent="0.25">
      <c r="B33" s="97" t="str">
        <f>+Ruta!B33</f>
        <v>SI</v>
      </c>
      <c r="C33" s="97">
        <f>+Ruta!C33</f>
        <v>30</v>
      </c>
      <c r="D33" s="97" t="str">
        <f>+Ruta!D33</f>
        <v>San Pedro</v>
      </c>
      <c r="E33" s="97" t="str">
        <f>+Ruta!E33</f>
        <v xml:space="preserve">Mayorista </v>
      </c>
      <c r="F33" s="97" t="str">
        <f>+Ruta!F33</f>
        <v>Lina Colonia</v>
      </c>
      <c r="G33" s="97" t="str">
        <f>+Ruta!G33</f>
        <v>Distribuidora San Pedro</v>
      </c>
      <c r="H33" s="97" t="str">
        <f>+Ruta!H33</f>
        <v>311 393 5295</v>
      </c>
      <c r="I33" s="97" t="str">
        <f>+Ruta!I33</f>
        <v xml:space="preserve">Marques 3años Botella + Can Agte </v>
      </c>
      <c r="J33" s="97" t="str">
        <f>+Ruta!J33</f>
        <v>Calle 5 Parque Principal</v>
      </c>
      <c r="K33" s="97">
        <f>+Ruta!K33</f>
        <v>0</v>
      </c>
      <c r="L33" s="78">
        <f>2*12</f>
        <v>24</v>
      </c>
      <c r="M33" s="78">
        <f>+Ruta!R33</f>
        <v>175</v>
      </c>
      <c r="N33" s="96">
        <v>5.8176257438250058E-3</v>
      </c>
      <c r="O33" s="66">
        <f t="shared" si="0"/>
        <v>5.8176257438250056</v>
      </c>
      <c r="P33" s="67">
        <v>6.4366172000715176</v>
      </c>
      <c r="Q33" s="66">
        <v>6.4366172000715176</v>
      </c>
      <c r="R33" s="66">
        <f t="shared" si="1"/>
        <v>17.452877231475018</v>
      </c>
      <c r="S33" s="66">
        <f t="shared" si="2"/>
        <v>19.309851600214554</v>
      </c>
      <c r="T33" s="66">
        <f t="shared" si="3"/>
        <v>58.176257438250055</v>
      </c>
      <c r="U33" s="66">
        <v>55</v>
      </c>
      <c r="V33" s="66">
        <f t="shared" si="4"/>
        <v>19.309851600214554</v>
      </c>
    </row>
    <row r="34" spans="2:23" hidden="1" x14ac:dyDescent="0.25">
      <c r="B34" s="97" t="str">
        <f>+Ruta!B34</f>
        <v>SI</v>
      </c>
      <c r="C34" s="97">
        <f>+Ruta!C34</f>
        <v>31</v>
      </c>
      <c r="D34" s="97" t="str">
        <f>+Ruta!D34</f>
        <v>Tuluá</v>
      </c>
      <c r="E34" s="97" t="str">
        <f>+Ruta!E34</f>
        <v>Supermercado</v>
      </c>
      <c r="F34" s="97" t="str">
        <f>+Ruta!F34</f>
        <v>Lina Colonia</v>
      </c>
      <c r="G34" s="97" t="str">
        <f>+Ruta!G34</f>
        <v>Mauro Market</v>
      </c>
      <c r="H34" s="97" t="str">
        <f>+Ruta!H34</f>
        <v>323 423 8848</v>
      </c>
      <c r="I34" s="97" t="str">
        <f>+Ruta!I34</f>
        <v xml:space="preserve">Botella $36.000, Marques 3años Botella + Can Agte </v>
      </c>
      <c r="J34" s="97" t="str">
        <f>+Ruta!J34</f>
        <v>Calle 34 Carrera 34</v>
      </c>
      <c r="K34" s="97">
        <f>+Ruta!K34</f>
        <v>0</v>
      </c>
      <c r="L34" s="78">
        <v>6</v>
      </c>
      <c r="M34" s="78">
        <f>+Ruta!R34</f>
        <v>12</v>
      </c>
      <c r="N34" s="96">
        <v>3.9892290814800039E-4</v>
      </c>
      <c r="O34" s="66">
        <f t="shared" si="0"/>
        <v>0.39892290814800041</v>
      </c>
      <c r="P34" s="67">
        <v>3</v>
      </c>
      <c r="Q34" s="66">
        <v>3</v>
      </c>
      <c r="R34" s="66">
        <f t="shared" si="1"/>
        <v>1.1967687244440011</v>
      </c>
      <c r="S34" s="66">
        <f t="shared" si="2"/>
        <v>9</v>
      </c>
      <c r="T34" s="66">
        <f t="shared" si="3"/>
        <v>3.989229081480004</v>
      </c>
      <c r="U34" s="66">
        <f t="shared" si="5"/>
        <v>30</v>
      </c>
      <c r="V34" s="66">
        <f t="shared" si="4"/>
        <v>9</v>
      </c>
    </row>
    <row r="35" spans="2:23" hidden="1" x14ac:dyDescent="0.25">
      <c r="B35" s="97" t="str">
        <f>+Ruta!B35</f>
        <v>SI</v>
      </c>
      <c r="C35" s="97">
        <f>+Ruta!C35</f>
        <v>32</v>
      </c>
      <c r="D35" s="97" t="str">
        <f>+Ruta!D35</f>
        <v>Tuluá</v>
      </c>
      <c r="E35" s="97" t="str">
        <f>+Ruta!E35</f>
        <v>Licorera</v>
      </c>
      <c r="F35" s="97" t="str">
        <f>+Ruta!F35</f>
        <v>Lina Colonia</v>
      </c>
      <c r="G35" s="97" t="str">
        <f>+Ruta!G35</f>
        <v>Licores El Estanco</v>
      </c>
      <c r="H35" s="97" t="str">
        <f>+Ruta!H35</f>
        <v>305 372 46 39</v>
      </c>
      <c r="I35" s="97">
        <f>+Ruta!I35</f>
        <v>0</v>
      </c>
      <c r="J35" s="97" t="str">
        <f>+Ruta!J35</f>
        <v>Transv 12 # 24-46</v>
      </c>
      <c r="K35" s="97">
        <f>+Ruta!K35</f>
        <v>0</v>
      </c>
      <c r="L35" s="78">
        <f>4*12</f>
        <v>48</v>
      </c>
      <c r="M35" s="78">
        <f>+Ruta!R35</f>
        <v>175</v>
      </c>
      <c r="N35" s="96">
        <v>5.8176257438250058E-3</v>
      </c>
      <c r="O35" s="66">
        <f t="shared" si="0"/>
        <v>5.8176257438250056</v>
      </c>
      <c r="P35" s="67">
        <v>6.0790273556231007</v>
      </c>
      <c r="Q35" s="66">
        <v>6.0790273556231007</v>
      </c>
      <c r="R35" s="66">
        <f t="shared" si="1"/>
        <v>17.452877231475018</v>
      </c>
      <c r="S35" s="66">
        <f t="shared" si="2"/>
        <v>18.237082066869302</v>
      </c>
      <c r="T35" s="66">
        <f t="shared" si="3"/>
        <v>58.176257438250055</v>
      </c>
      <c r="U35" s="66">
        <f t="shared" si="5"/>
        <v>60.790273556231007</v>
      </c>
      <c r="V35" s="66">
        <f t="shared" si="4"/>
        <v>18.237082066869302</v>
      </c>
    </row>
    <row r="36" spans="2:23" x14ac:dyDescent="0.25">
      <c r="B36" s="97" t="str">
        <f>+Ruta!B36</f>
        <v>SI</v>
      </c>
      <c r="C36" s="97">
        <f>+Ruta!C36</f>
        <v>33</v>
      </c>
      <c r="D36" s="97" t="str">
        <f>+Ruta!D36</f>
        <v>Buga</v>
      </c>
      <c r="E36" s="97" t="str">
        <f>+Ruta!E36</f>
        <v>Licorera</v>
      </c>
      <c r="F36" s="97" t="str">
        <f>+Ruta!F36</f>
        <v>Lina Colonia</v>
      </c>
      <c r="G36" s="97" t="str">
        <f>+Ruta!G36</f>
        <v>Licores La 4ta Avenida</v>
      </c>
      <c r="H36" s="97">
        <f>+Ruta!H36</f>
        <v>3167142019</v>
      </c>
      <c r="I36" s="97" t="str">
        <f>+Ruta!I36</f>
        <v>Marques 3años Botella + Can Agte   -Marques Bot 3años P2 x 3  - Marques 8años + Can 3 años</v>
      </c>
      <c r="J36" s="97" t="str">
        <f>+Ruta!J36</f>
        <v>Calle 4 # 6 - 06</v>
      </c>
      <c r="K36" s="97">
        <f>+Ruta!K36</f>
        <v>0</v>
      </c>
      <c r="L36" s="78">
        <f>30*12</f>
        <v>360</v>
      </c>
      <c r="M36" s="78">
        <f>+Ruta!R36</f>
        <v>1200</v>
      </c>
      <c r="N36" s="96">
        <v>3.9892290814800037E-2</v>
      </c>
      <c r="O36" s="66">
        <f t="shared" si="0"/>
        <v>39.892290814800035</v>
      </c>
      <c r="P36" s="67">
        <v>30</v>
      </c>
      <c r="Q36" s="66">
        <v>30</v>
      </c>
      <c r="R36" s="66">
        <f t="shared" si="1"/>
        <v>119.6768724444001</v>
      </c>
      <c r="S36" s="66">
        <v>100</v>
      </c>
      <c r="T36" s="66">
        <f t="shared" si="3"/>
        <v>398.92290814800037</v>
      </c>
      <c r="U36" s="66">
        <v>350</v>
      </c>
      <c r="V36" s="66">
        <f t="shared" si="4"/>
        <v>100</v>
      </c>
      <c r="W36" s="80">
        <f>+V36/24</f>
        <v>4.166666666666667</v>
      </c>
    </row>
    <row r="37" spans="2:23" hidden="1" x14ac:dyDescent="0.25">
      <c r="B37" s="97" t="str">
        <f>+Ruta!B37</f>
        <v>SI</v>
      </c>
      <c r="C37" s="97">
        <f>+Ruta!C37</f>
        <v>34</v>
      </c>
      <c r="D37" s="97" t="str">
        <f>+Ruta!D37</f>
        <v>Cali</v>
      </c>
      <c r="E37" s="97" t="str">
        <f>+Ruta!E37</f>
        <v>TAT</v>
      </c>
      <c r="F37" s="97" t="str">
        <f>+Ruta!F37</f>
        <v>Ana Rosa Lopera</v>
      </c>
      <c r="G37" s="97" t="str">
        <f>+Ruta!G37</f>
        <v>Supermercado Tarzan</v>
      </c>
      <c r="H37" s="97">
        <f>+Ruta!H37</f>
        <v>3143874179</v>
      </c>
      <c r="I37" s="97" t="str">
        <f>+Ruta!I37</f>
        <v xml:space="preserve">Marques 3años Botella + Can Agte </v>
      </c>
      <c r="J37" s="97" t="str">
        <f>+Ruta!J37</f>
        <v>Carrera 82 #5-97</v>
      </c>
      <c r="K37" s="97">
        <f>+Ruta!K37</f>
        <v>901235591</v>
      </c>
      <c r="L37" s="78">
        <v>0</v>
      </c>
      <c r="M37" s="78">
        <f>+Ruta!R37</f>
        <v>18</v>
      </c>
      <c r="N37" s="96">
        <v>5.9838436222200064E-4</v>
      </c>
      <c r="O37" s="66">
        <f t="shared" si="0"/>
        <v>0.59838436222200064</v>
      </c>
      <c r="P37" s="67">
        <v>3</v>
      </c>
      <c r="Q37" s="66">
        <v>3</v>
      </c>
      <c r="R37" s="66">
        <f t="shared" si="1"/>
        <v>1.7951530866660019</v>
      </c>
      <c r="S37" s="66">
        <f t="shared" si="2"/>
        <v>9</v>
      </c>
      <c r="T37" s="66">
        <f t="shared" si="3"/>
        <v>5.9838436222200064</v>
      </c>
      <c r="U37" s="66">
        <f t="shared" si="5"/>
        <v>30</v>
      </c>
      <c r="V37" s="66">
        <f t="shared" si="4"/>
        <v>9</v>
      </c>
    </row>
    <row r="38" spans="2:23" hidden="1" x14ac:dyDescent="0.25">
      <c r="B38" s="97" t="str">
        <f>+Ruta!B38</f>
        <v>NO</v>
      </c>
      <c r="C38" s="97">
        <f>+Ruta!C38</f>
        <v>35</v>
      </c>
      <c r="D38" s="97" t="str">
        <f>+Ruta!D38</f>
        <v>Cali</v>
      </c>
      <c r="E38" s="97" t="str">
        <f>+Ruta!E38</f>
        <v>TAT</v>
      </c>
      <c r="F38" s="97" t="str">
        <f>+Ruta!F38</f>
        <v>Ana Rosa Lopera</v>
      </c>
      <c r="G38" s="97" t="str">
        <f>+Ruta!G38</f>
        <v>Miscelanea Viejo Willi</v>
      </c>
      <c r="H38" s="97">
        <f>+Ruta!H38</f>
        <v>3298558</v>
      </c>
      <c r="I38" s="97" t="str">
        <f>+Ruta!I38</f>
        <v xml:space="preserve">Marques 3años Botella + Can Agte </v>
      </c>
      <c r="J38" s="97" t="str">
        <f>+Ruta!J38</f>
        <v>Sector alabama la buitrera</v>
      </c>
      <c r="K38" s="97">
        <f>+Ruta!K38</f>
        <v>16587698</v>
      </c>
      <c r="L38" s="99">
        <v>0</v>
      </c>
      <c r="M38" s="78">
        <f>+Ruta!R38</f>
        <v>0</v>
      </c>
      <c r="N38" s="96">
        <v>0</v>
      </c>
      <c r="O38" s="66">
        <f t="shared" si="0"/>
        <v>0</v>
      </c>
      <c r="P38" s="67">
        <v>0</v>
      </c>
      <c r="Q38" s="66">
        <v>0</v>
      </c>
      <c r="R38" s="66">
        <f t="shared" si="1"/>
        <v>0</v>
      </c>
      <c r="S38" s="66">
        <f t="shared" si="2"/>
        <v>0</v>
      </c>
      <c r="T38" s="66">
        <f t="shared" si="3"/>
        <v>0</v>
      </c>
      <c r="U38" s="66">
        <f t="shared" si="5"/>
        <v>0</v>
      </c>
      <c r="V38" s="66">
        <f t="shared" si="4"/>
        <v>0</v>
      </c>
    </row>
    <row r="39" spans="2:23" hidden="1" x14ac:dyDescent="0.25">
      <c r="B39" s="97" t="str">
        <f>+Ruta!B39</f>
        <v>SI</v>
      </c>
      <c r="C39" s="97">
        <f>+Ruta!C39</f>
        <v>36</v>
      </c>
      <c r="D39" s="97" t="str">
        <f>+Ruta!D39</f>
        <v>Cali</v>
      </c>
      <c r="E39" s="97" t="str">
        <f>+Ruta!E39</f>
        <v>TAT</v>
      </c>
      <c r="F39" s="97" t="str">
        <f>+Ruta!F39</f>
        <v>Ana Rosa Lopera</v>
      </c>
      <c r="G39" s="97" t="str">
        <f>+Ruta!G39</f>
        <v>Licores La Perla</v>
      </c>
      <c r="H39" s="97">
        <f>+Ruta!H39</f>
        <v>5216031</v>
      </c>
      <c r="I39" s="97" t="str">
        <f>+Ruta!I39</f>
        <v xml:space="preserve">Marques 3años Botella + Can Agte </v>
      </c>
      <c r="J39" s="97" t="str">
        <f>+Ruta!J39</f>
        <v>Polvorines vía ppal</v>
      </c>
      <c r="K39" s="97">
        <f>+Ruta!K39</f>
        <v>1032363617</v>
      </c>
      <c r="L39" s="78">
        <v>0</v>
      </c>
      <c r="M39" s="78">
        <f>+Ruta!R39</f>
        <v>30</v>
      </c>
      <c r="N39" s="96">
        <v>9.9730727037000092E-4</v>
      </c>
      <c r="O39" s="66">
        <f t="shared" si="0"/>
        <v>0.99730727037000089</v>
      </c>
      <c r="P39" s="67">
        <v>3</v>
      </c>
      <c r="Q39" s="66">
        <v>3</v>
      </c>
      <c r="R39" s="66">
        <f t="shared" si="1"/>
        <v>2.9919218111100028</v>
      </c>
      <c r="S39" s="66">
        <f t="shared" si="2"/>
        <v>9</v>
      </c>
      <c r="T39" s="66">
        <f t="shared" si="3"/>
        <v>9.9730727037000086</v>
      </c>
      <c r="U39" s="66">
        <f t="shared" si="5"/>
        <v>30</v>
      </c>
      <c r="V39" s="66">
        <f t="shared" si="4"/>
        <v>9</v>
      </c>
    </row>
    <row r="40" spans="2:23" hidden="1" x14ac:dyDescent="0.25">
      <c r="B40" s="97" t="str">
        <f>+Ruta!B40</f>
        <v>NO</v>
      </c>
      <c r="C40" s="97">
        <f>+Ruta!C40</f>
        <v>37</v>
      </c>
      <c r="D40" s="97" t="str">
        <f>+Ruta!D40</f>
        <v>Cali</v>
      </c>
      <c r="E40" s="97" t="str">
        <f>+Ruta!E40</f>
        <v>TAT</v>
      </c>
      <c r="F40" s="97" t="str">
        <f>+Ruta!F40</f>
        <v>Ana Rosa Lopera</v>
      </c>
      <c r="G40" s="97" t="str">
        <f>+Ruta!G40</f>
        <v>Licores Martha</v>
      </c>
      <c r="H40" s="97">
        <f>+Ruta!H40</f>
        <v>1130669277</v>
      </c>
      <c r="I40" s="97" t="str">
        <f>+Ruta!I40</f>
        <v xml:space="preserve">Marques 3años Botella + Can Agte </v>
      </c>
      <c r="J40" s="97" t="str">
        <f>+Ruta!J40</f>
        <v>Carrera 39 #46-10</v>
      </c>
      <c r="K40" s="97">
        <f>+Ruta!K40</f>
        <v>1130669277</v>
      </c>
      <c r="L40" s="101">
        <v>0</v>
      </c>
      <c r="M40" s="78">
        <f>+Ruta!R40</f>
        <v>0</v>
      </c>
      <c r="N40" s="96">
        <v>0</v>
      </c>
      <c r="O40" s="66">
        <f t="shared" si="0"/>
        <v>0</v>
      </c>
      <c r="P40" s="67"/>
      <c r="Q40" s="66">
        <v>0</v>
      </c>
      <c r="R40" s="66">
        <f t="shared" si="1"/>
        <v>0</v>
      </c>
      <c r="S40" s="66">
        <f t="shared" si="2"/>
        <v>0</v>
      </c>
      <c r="T40" s="66">
        <f t="shared" si="3"/>
        <v>0</v>
      </c>
      <c r="U40" s="66">
        <f t="shared" si="5"/>
        <v>0</v>
      </c>
      <c r="V40" s="66">
        <f t="shared" si="4"/>
        <v>0</v>
      </c>
    </row>
    <row r="41" spans="2:23" hidden="1" x14ac:dyDescent="0.25">
      <c r="B41" s="97" t="str">
        <f>+Ruta!B41</f>
        <v>SI</v>
      </c>
      <c r="C41" s="97">
        <f>+Ruta!C41</f>
        <v>38</v>
      </c>
      <c r="D41" s="97" t="str">
        <f>+Ruta!D41</f>
        <v>Cali</v>
      </c>
      <c r="E41" s="97" t="str">
        <f>+Ruta!E41</f>
        <v>TAT</v>
      </c>
      <c r="F41" s="97" t="str">
        <f>+Ruta!F41</f>
        <v>Ana Rosa Lopera</v>
      </c>
      <c r="G41" s="97" t="str">
        <f>+Ruta!G41</f>
        <v>Licores Helen</v>
      </c>
      <c r="H41" s="97">
        <f>+Ruta!H41</f>
        <v>3022491892</v>
      </c>
      <c r="I41" s="97" t="str">
        <f>+Ruta!I41</f>
        <v xml:space="preserve">Marques 3años Botella + Can Agte </v>
      </c>
      <c r="J41" s="97" t="str">
        <f>+Ruta!J41</f>
        <v xml:space="preserve"> Carrera 25 #19-02</v>
      </c>
      <c r="K41" s="97">
        <f>+Ruta!K41</f>
        <v>31971928</v>
      </c>
      <c r="L41" s="78">
        <v>20</v>
      </c>
      <c r="M41" s="78">
        <f>+Ruta!R41</f>
        <v>38</v>
      </c>
      <c r="N41" s="96">
        <v>1.2632558758020013E-3</v>
      </c>
      <c r="O41" s="66">
        <f t="shared" si="0"/>
        <v>1.2632558758020012</v>
      </c>
      <c r="P41" s="67">
        <v>3</v>
      </c>
      <c r="Q41" s="66">
        <v>3</v>
      </c>
      <c r="R41" s="66">
        <f t="shared" si="1"/>
        <v>3.7897676274060039</v>
      </c>
      <c r="S41" s="66">
        <f t="shared" si="2"/>
        <v>9</v>
      </c>
      <c r="T41" s="66">
        <f t="shared" si="3"/>
        <v>12.632558758020012</v>
      </c>
      <c r="U41" s="66">
        <f t="shared" si="5"/>
        <v>30</v>
      </c>
      <c r="V41" s="66">
        <f t="shared" si="4"/>
        <v>9</v>
      </c>
    </row>
    <row r="42" spans="2:23" hidden="1" x14ac:dyDescent="0.25">
      <c r="B42" s="97" t="str">
        <f>+Ruta!B42</f>
        <v>SI</v>
      </c>
      <c r="C42" s="97">
        <f>+Ruta!C42</f>
        <v>39</v>
      </c>
      <c r="D42" s="97" t="str">
        <f>+Ruta!D42</f>
        <v>Cali</v>
      </c>
      <c r="E42" s="97" t="str">
        <f>+Ruta!E42</f>
        <v>TAT</v>
      </c>
      <c r="F42" s="97" t="str">
        <f>+Ruta!F42</f>
        <v>Ana Rosa Lopera</v>
      </c>
      <c r="G42" s="97" t="str">
        <f>+Ruta!G42</f>
        <v>Mini Market 7</v>
      </c>
      <c r="H42" s="97">
        <f>+Ruta!H42</f>
        <v>3134661206</v>
      </c>
      <c r="I42" s="97" t="str">
        <f>+Ruta!I42</f>
        <v xml:space="preserve">Marques 3años Botella + Can Agte </v>
      </c>
      <c r="J42" s="97" t="str">
        <f>+Ruta!J42</f>
        <v>Calle 7 #31-09</v>
      </c>
      <c r="K42" s="97">
        <f>+Ruta!K42</f>
        <v>1088006300</v>
      </c>
      <c r="L42" s="78">
        <v>0</v>
      </c>
      <c r="M42" s="78">
        <f>+Ruta!R42</f>
        <v>10</v>
      </c>
      <c r="N42" s="96">
        <v>3.3243575679000031E-4</v>
      </c>
      <c r="O42" s="66">
        <f t="shared" si="0"/>
        <v>0.33243575679000031</v>
      </c>
      <c r="P42" s="67">
        <v>3</v>
      </c>
      <c r="Q42" s="66">
        <v>3</v>
      </c>
      <c r="R42" s="66">
        <f t="shared" si="1"/>
        <v>0.99730727037000089</v>
      </c>
      <c r="S42" s="66">
        <f t="shared" si="2"/>
        <v>9</v>
      </c>
      <c r="T42" s="66">
        <f t="shared" si="3"/>
        <v>3.324357567900003</v>
      </c>
      <c r="U42" s="66">
        <f t="shared" si="5"/>
        <v>30</v>
      </c>
      <c r="V42" s="66">
        <f t="shared" si="4"/>
        <v>9</v>
      </c>
    </row>
    <row r="43" spans="2:23" hidden="1" x14ac:dyDescent="0.25">
      <c r="B43" s="97" t="str">
        <f>+Ruta!B43</f>
        <v>SI</v>
      </c>
      <c r="C43" s="97">
        <f>+Ruta!C43</f>
        <v>40</v>
      </c>
      <c r="D43" s="97" t="str">
        <f>+Ruta!D43</f>
        <v>Cali</v>
      </c>
      <c r="E43" s="97" t="str">
        <f>+Ruta!E43</f>
        <v>TAT</v>
      </c>
      <c r="F43" s="97" t="str">
        <f>+Ruta!F43</f>
        <v>Ana Rosa Lopera</v>
      </c>
      <c r="G43" s="97" t="str">
        <f>+Ruta!G43</f>
        <v>Alvaro Prado</v>
      </c>
      <c r="H43" s="97">
        <f>+Ruta!H43</f>
        <v>4207110</v>
      </c>
      <c r="I43" s="97" t="str">
        <f>+Ruta!I43</f>
        <v xml:space="preserve">Marques 3años Botella + Can Agte </v>
      </c>
      <c r="J43" s="97" t="str">
        <f>+Ruta!J43</f>
        <v>Carrera 26 u #122=94</v>
      </c>
      <c r="K43" s="97">
        <f>+Ruta!K43</f>
        <v>94300252</v>
      </c>
      <c r="L43" s="78">
        <v>0</v>
      </c>
      <c r="M43" s="78">
        <f>+Ruta!R43</f>
        <v>26</v>
      </c>
      <c r="N43" s="96">
        <v>8.6433296765400086E-4</v>
      </c>
      <c r="O43" s="66">
        <f t="shared" si="0"/>
        <v>0.86433296765400092</v>
      </c>
      <c r="P43" s="67">
        <v>3</v>
      </c>
      <c r="Q43" s="66">
        <v>3</v>
      </c>
      <c r="R43" s="66">
        <f t="shared" si="1"/>
        <v>2.5929989029620026</v>
      </c>
      <c r="S43" s="66">
        <f t="shared" si="2"/>
        <v>9</v>
      </c>
      <c r="T43" s="66">
        <f t="shared" si="3"/>
        <v>8.6433296765400094</v>
      </c>
      <c r="U43" s="66">
        <f t="shared" si="5"/>
        <v>30</v>
      </c>
      <c r="V43" s="66">
        <f t="shared" si="4"/>
        <v>9</v>
      </c>
    </row>
    <row r="44" spans="2:23" hidden="1" x14ac:dyDescent="0.25">
      <c r="B44" s="97" t="str">
        <f>+Ruta!B44</f>
        <v>SI</v>
      </c>
      <c r="C44" s="97">
        <f>+Ruta!C44</f>
        <v>41</v>
      </c>
      <c r="D44" s="97" t="str">
        <f>+Ruta!D44</f>
        <v>Cali</v>
      </c>
      <c r="E44" s="97" t="str">
        <f>+Ruta!E44</f>
        <v>TAT</v>
      </c>
      <c r="F44" s="97" t="str">
        <f>+Ruta!F44</f>
        <v>Ana Rosa Lopera</v>
      </c>
      <c r="G44" s="97" t="str">
        <f>+Ruta!G44</f>
        <v>Carlos Lopez</v>
      </c>
      <c r="H44" s="97">
        <f>+Ruta!H44</f>
        <v>4201897</v>
      </c>
      <c r="I44" s="97" t="str">
        <f>+Ruta!I44</f>
        <v xml:space="preserve">Marques 3años Botella + Can Agte </v>
      </c>
      <c r="J44" s="97" t="str">
        <f>+Ruta!J44</f>
        <v xml:space="preserve"> Carrera 25 c # 123-01</v>
      </c>
      <c r="K44" s="97">
        <f>+Ruta!K44</f>
        <v>70829838</v>
      </c>
      <c r="L44" s="78">
        <v>0</v>
      </c>
      <c r="M44" s="78">
        <f>+Ruta!R44</f>
        <v>26</v>
      </c>
      <c r="N44" s="96">
        <v>8.6433296765400086E-4</v>
      </c>
      <c r="O44" s="66">
        <f t="shared" si="0"/>
        <v>0.86433296765400092</v>
      </c>
      <c r="P44" s="67">
        <v>3</v>
      </c>
      <c r="Q44" s="66">
        <v>3</v>
      </c>
      <c r="R44" s="66">
        <f t="shared" si="1"/>
        <v>2.5929989029620026</v>
      </c>
      <c r="S44" s="66">
        <f t="shared" si="2"/>
        <v>9</v>
      </c>
      <c r="T44" s="66">
        <f t="shared" si="3"/>
        <v>8.6433296765400094</v>
      </c>
      <c r="U44" s="66">
        <f t="shared" si="5"/>
        <v>30</v>
      </c>
      <c r="V44" s="66">
        <f t="shared" si="4"/>
        <v>9</v>
      </c>
    </row>
    <row r="45" spans="2:23" hidden="1" x14ac:dyDescent="0.25">
      <c r="B45" s="97" t="str">
        <f>+Ruta!B45</f>
        <v>NO</v>
      </c>
      <c r="C45" s="97">
        <f>+Ruta!C45</f>
        <v>42</v>
      </c>
      <c r="D45" s="97" t="str">
        <f>+Ruta!D45</f>
        <v>Cali</v>
      </c>
      <c r="E45" s="97" t="str">
        <f>+Ruta!E45</f>
        <v>TAT</v>
      </c>
      <c r="F45" s="97" t="str">
        <f>+Ruta!F45</f>
        <v>Ana Rosa Lopera</v>
      </c>
      <c r="G45" s="97" t="str">
        <f>+Ruta!G45</f>
        <v>Licores El Calidoso</v>
      </c>
      <c r="H45" s="97">
        <f>+Ruta!H45</f>
        <v>4056996</v>
      </c>
      <c r="I45" s="97" t="str">
        <f>+Ruta!I45</f>
        <v xml:space="preserve">Marques 3años Botella + Can Agte </v>
      </c>
      <c r="J45" s="97" t="str">
        <f>+Ruta!J45</f>
        <v xml:space="preserve"> Carrera 26L 123 06</v>
      </c>
      <c r="K45" s="97">
        <f>+Ruta!K45</f>
        <v>16833231</v>
      </c>
      <c r="L45" s="101">
        <v>0</v>
      </c>
      <c r="M45" s="78">
        <f>+Ruta!R45</f>
        <v>0</v>
      </c>
      <c r="N45" s="96">
        <v>0</v>
      </c>
      <c r="O45" s="66">
        <f t="shared" si="0"/>
        <v>0</v>
      </c>
      <c r="P45" s="67"/>
      <c r="Q45" s="66">
        <v>0</v>
      </c>
      <c r="R45" s="66">
        <f t="shared" si="1"/>
        <v>0</v>
      </c>
      <c r="S45" s="66">
        <f t="shared" si="2"/>
        <v>0</v>
      </c>
      <c r="T45" s="66">
        <f t="shared" si="3"/>
        <v>0</v>
      </c>
      <c r="U45" s="66">
        <f t="shared" si="5"/>
        <v>0</v>
      </c>
      <c r="V45" s="66">
        <f t="shared" si="4"/>
        <v>0</v>
      </c>
    </row>
    <row r="46" spans="2:23" hidden="1" x14ac:dyDescent="0.25">
      <c r="B46" s="97" t="str">
        <f>+Ruta!B46</f>
        <v>SI</v>
      </c>
      <c r="C46" s="97">
        <f>+Ruta!C46</f>
        <v>43</v>
      </c>
      <c r="D46" s="97" t="str">
        <f>+Ruta!D46</f>
        <v>Cali</v>
      </c>
      <c r="E46" s="97" t="str">
        <f>+Ruta!E46</f>
        <v>TAT</v>
      </c>
      <c r="F46" s="97" t="str">
        <f>+Ruta!F46</f>
        <v>Ana Rosa Lopera</v>
      </c>
      <c r="G46" s="97" t="str">
        <f>+Ruta!G46</f>
        <v>Granero y Estanco Martinez</v>
      </c>
      <c r="H46" s="97">
        <f>+Ruta!H46</f>
        <v>4306553</v>
      </c>
      <c r="I46" s="97" t="str">
        <f>+Ruta!I46</f>
        <v xml:space="preserve">Marques 3años Botella + Can Agte </v>
      </c>
      <c r="J46" s="97" t="str">
        <f>+Ruta!J46</f>
        <v>Carrera 4 A #60 - 82</v>
      </c>
      <c r="K46" s="97">
        <f>+Ruta!K46</f>
        <v>42116594</v>
      </c>
      <c r="L46" s="78">
        <v>10</v>
      </c>
      <c r="M46" s="78">
        <f>+Ruta!R46</f>
        <v>18</v>
      </c>
      <c r="N46" s="96">
        <v>5.9838436222200064E-4</v>
      </c>
      <c r="O46" s="66">
        <f t="shared" si="0"/>
        <v>0.59838436222200064</v>
      </c>
      <c r="P46" s="67">
        <v>3</v>
      </c>
      <c r="Q46" s="66">
        <v>3</v>
      </c>
      <c r="R46" s="66">
        <f t="shared" si="1"/>
        <v>1.7951530866660019</v>
      </c>
      <c r="S46" s="66">
        <f t="shared" si="2"/>
        <v>9</v>
      </c>
      <c r="T46" s="66">
        <f t="shared" si="3"/>
        <v>5.9838436222200064</v>
      </c>
      <c r="U46" s="66">
        <f t="shared" si="5"/>
        <v>30</v>
      </c>
      <c r="V46" s="66">
        <f t="shared" si="4"/>
        <v>9</v>
      </c>
    </row>
    <row r="47" spans="2:23" hidden="1" x14ac:dyDescent="0.25">
      <c r="B47" s="97" t="str">
        <f>+Ruta!B47</f>
        <v>NO</v>
      </c>
      <c r="C47" s="97">
        <f>+Ruta!C47</f>
        <v>44</v>
      </c>
      <c r="D47" s="97" t="str">
        <f>+Ruta!D47</f>
        <v>Cali</v>
      </c>
      <c r="E47" s="97" t="str">
        <f>+Ruta!E47</f>
        <v>TAT</v>
      </c>
      <c r="F47" s="97" t="str">
        <f>+Ruta!F47</f>
        <v>Ana Rosa Lopera</v>
      </c>
      <c r="G47" s="97" t="str">
        <f>+Ruta!G47</f>
        <v>Grupo Empresarial JF</v>
      </c>
      <c r="H47" s="97">
        <f>+Ruta!H47</f>
        <v>5529929</v>
      </c>
      <c r="I47" s="97" t="str">
        <f>+Ruta!I47</f>
        <v xml:space="preserve">Marques 3años Botella + Can Agte </v>
      </c>
      <c r="J47" s="97" t="str">
        <f>+Ruta!J47</f>
        <v xml:space="preserve"> Carrera 95 # 3-20</v>
      </c>
      <c r="K47" s="97">
        <f>+Ruta!K47</f>
        <v>901133087</v>
      </c>
      <c r="L47" s="101">
        <v>0</v>
      </c>
      <c r="M47" s="78">
        <f>+Ruta!R47</f>
        <v>0</v>
      </c>
      <c r="N47" s="96">
        <v>0</v>
      </c>
      <c r="O47" s="66">
        <f t="shared" si="0"/>
        <v>0</v>
      </c>
      <c r="P47" s="67"/>
      <c r="Q47" s="66">
        <v>0</v>
      </c>
      <c r="R47" s="66">
        <f t="shared" si="1"/>
        <v>0</v>
      </c>
      <c r="S47" s="66">
        <f t="shared" si="2"/>
        <v>0</v>
      </c>
      <c r="T47" s="66">
        <f t="shared" si="3"/>
        <v>0</v>
      </c>
      <c r="U47" s="66">
        <f t="shared" si="5"/>
        <v>0</v>
      </c>
      <c r="V47" s="66">
        <f t="shared" si="4"/>
        <v>0</v>
      </c>
    </row>
    <row r="48" spans="2:23" hidden="1" x14ac:dyDescent="0.25">
      <c r="B48" s="97" t="str">
        <f>+Ruta!B48</f>
        <v>NO</v>
      </c>
      <c r="C48" s="97">
        <f>+Ruta!C48</f>
        <v>45</v>
      </c>
      <c r="D48" s="97" t="str">
        <f>+Ruta!D48</f>
        <v>Cali</v>
      </c>
      <c r="E48" s="97" t="str">
        <f>+Ruta!E48</f>
        <v>TAT</v>
      </c>
      <c r="F48" s="97" t="str">
        <f>+Ruta!F48</f>
        <v>Ana Rosa Lopera</v>
      </c>
      <c r="G48" s="97" t="str">
        <f>+Ruta!G48</f>
        <v>Giovanny Molina</v>
      </c>
      <c r="H48" s="97">
        <f>+Ruta!H48</f>
        <v>4035308</v>
      </c>
      <c r="I48" s="97" t="str">
        <f>+Ruta!I48</f>
        <v xml:space="preserve">Marques 3años Botella + Can Agte </v>
      </c>
      <c r="J48" s="97" t="str">
        <f>+Ruta!J48</f>
        <v>Carrera 94 A  # 2 A 102</v>
      </c>
      <c r="K48" s="97">
        <f>+Ruta!K48</f>
        <v>4722270</v>
      </c>
      <c r="L48" s="101">
        <v>0</v>
      </c>
      <c r="M48" s="78">
        <f>+Ruta!R48</f>
        <v>0</v>
      </c>
      <c r="N48" s="96">
        <v>0</v>
      </c>
      <c r="O48" s="66">
        <f t="shared" si="0"/>
        <v>0</v>
      </c>
      <c r="P48" s="67"/>
      <c r="Q48" s="66">
        <v>0</v>
      </c>
      <c r="R48" s="66">
        <f t="shared" si="1"/>
        <v>0</v>
      </c>
      <c r="S48" s="66">
        <f t="shared" si="2"/>
        <v>0</v>
      </c>
      <c r="T48" s="66">
        <f t="shared" si="3"/>
        <v>0</v>
      </c>
      <c r="U48" s="66">
        <f t="shared" si="5"/>
        <v>0</v>
      </c>
      <c r="V48" s="66">
        <f t="shared" si="4"/>
        <v>0</v>
      </c>
    </row>
    <row r="49" spans="2:22" hidden="1" x14ac:dyDescent="0.25">
      <c r="B49" s="97" t="str">
        <f>+Ruta!B49</f>
        <v>SI</v>
      </c>
      <c r="C49" s="97">
        <f>+Ruta!C49</f>
        <v>46</v>
      </c>
      <c r="D49" s="97" t="str">
        <f>+Ruta!D49</f>
        <v>Cali</v>
      </c>
      <c r="E49" s="97" t="str">
        <f>+Ruta!E49</f>
        <v>TAT</v>
      </c>
      <c r="F49" s="97" t="str">
        <f>+Ruta!F49</f>
        <v>Ana Rosa Lopera</v>
      </c>
      <c r="G49" s="97" t="str">
        <f>+Ruta!G49</f>
        <v>Supertienda Carvajal</v>
      </c>
      <c r="H49" s="97">
        <f>+Ruta!H49</f>
        <v>3015493138</v>
      </c>
      <c r="I49" s="97" t="str">
        <f>+Ruta!I49</f>
        <v xml:space="preserve">Marques 3años Botella + Can Agte </v>
      </c>
      <c r="J49" s="97" t="str">
        <f>+Ruta!J49</f>
        <v>Calle 13 # 34 - 33</v>
      </c>
      <c r="K49" s="97">
        <f>+Ruta!K49</f>
        <v>1144040229</v>
      </c>
      <c r="L49" s="78">
        <v>0</v>
      </c>
      <c r="M49" s="78">
        <f>+Ruta!R49</f>
        <v>8</v>
      </c>
      <c r="N49" s="96">
        <v>2.6594860543200028E-4</v>
      </c>
      <c r="O49" s="66">
        <f t="shared" si="0"/>
        <v>0.26594860543200027</v>
      </c>
      <c r="P49" s="67">
        <v>3</v>
      </c>
      <c r="Q49" s="66">
        <v>3</v>
      </c>
      <c r="R49" s="66">
        <f t="shared" si="1"/>
        <v>0.79784581629600082</v>
      </c>
      <c r="S49" s="66">
        <f t="shared" si="2"/>
        <v>9</v>
      </c>
      <c r="T49" s="66">
        <f t="shared" si="3"/>
        <v>2.659486054320003</v>
      </c>
      <c r="U49" s="66">
        <f t="shared" si="5"/>
        <v>30</v>
      </c>
      <c r="V49" s="66">
        <f t="shared" si="4"/>
        <v>9</v>
      </c>
    </row>
    <row r="50" spans="2:22" hidden="1" x14ac:dyDescent="0.25">
      <c r="B50" s="97" t="str">
        <f>+Ruta!B50</f>
        <v>SI</v>
      </c>
      <c r="C50" s="97">
        <f>+Ruta!C50</f>
        <v>47</v>
      </c>
      <c r="D50" s="97" t="str">
        <f>+Ruta!D50</f>
        <v>Cali</v>
      </c>
      <c r="E50" s="97" t="str">
        <f>+Ruta!E50</f>
        <v>TAT</v>
      </c>
      <c r="F50" s="97" t="str">
        <f>+Ruta!F50</f>
        <v>Ana Rosa Lopera</v>
      </c>
      <c r="G50" s="97" t="str">
        <f>+Ruta!G50</f>
        <v>Licores La Sucursal</v>
      </c>
      <c r="H50" s="97">
        <f>+Ruta!H50</f>
        <v>4482670</v>
      </c>
      <c r="I50" s="97" t="str">
        <f>+Ruta!I50</f>
        <v xml:space="preserve">Marques 3años Botella + Can Agte </v>
      </c>
      <c r="J50" s="97" t="str">
        <f>+Ruta!J50</f>
        <v>Calle 44 #5-26</v>
      </c>
      <c r="K50" s="97">
        <f>+Ruta!K50</f>
        <v>1107103712</v>
      </c>
      <c r="L50" s="78">
        <v>0</v>
      </c>
      <c r="M50" s="78">
        <f>+Ruta!R50</f>
        <v>25</v>
      </c>
      <c r="N50" s="96">
        <v>8.3108939197500088E-4</v>
      </c>
      <c r="O50" s="66">
        <f t="shared" si="0"/>
        <v>0.83108939197500087</v>
      </c>
      <c r="P50" s="67">
        <v>3</v>
      </c>
      <c r="Q50" s="66">
        <v>3</v>
      </c>
      <c r="R50" s="66">
        <f t="shared" si="1"/>
        <v>2.4932681759250026</v>
      </c>
      <c r="S50" s="66">
        <f t="shared" si="2"/>
        <v>9</v>
      </c>
      <c r="T50" s="66">
        <f t="shared" si="3"/>
        <v>8.3108939197500096</v>
      </c>
      <c r="U50" s="66">
        <f t="shared" si="5"/>
        <v>30</v>
      </c>
      <c r="V50" s="66">
        <f t="shared" si="4"/>
        <v>9</v>
      </c>
    </row>
    <row r="51" spans="2:22" hidden="1" x14ac:dyDescent="0.25">
      <c r="B51" s="97" t="str">
        <f>+Ruta!B51</f>
        <v>NO</v>
      </c>
      <c r="C51" s="97">
        <f>+Ruta!C51</f>
        <v>48</v>
      </c>
      <c r="D51" s="97" t="str">
        <f>+Ruta!D51</f>
        <v>Cali</v>
      </c>
      <c r="E51" s="97" t="str">
        <f>+Ruta!E51</f>
        <v>TAT</v>
      </c>
      <c r="F51" s="97" t="str">
        <f>+Ruta!F51</f>
        <v>Ana Rosa Lopera</v>
      </c>
      <c r="G51" s="97" t="str">
        <f>+Ruta!G51</f>
        <v>Richard Cundar Benavides</v>
      </c>
      <c r="H51" s="97">
        <f>+Ruta!H51</f>
        <v>3153399094</v>
      </c>
      <c r="I51" s="97">
        <f>+Ruta!I51</f>
        <v>0</v>
      </c>
      <c r="J51" s="97" t="str">
        <f>+Ruta!J51</f>
        <v>Cll54#47-05</v>
      </c>
      <c r="K51" s="97">
        <f>+Ruta!K51</f>
        <v>1082657940</v>
      </c>
      <c r="L51" s="101">
        <v>0</v>
      </c>
      <c r="M51" s="78">
        <f>+Ruta!R51</f>
        <v>0</v>
      </c>
      <c r="N51" s="96">
        <v>0</v>
      </c>
      <c r="O51" s="66">
        <f t="shared" si="0"/>
        <v>0</v>
      </c>
      <c r="P51" s="67"/>
      <c r="Q51" s="66">
        <v>0</v>
      </c>
      <c r="R51" s="66">
        <f t="shared" si="1"/>
        <v>0</v>
      </c>
      <c r="S51" s="66">
        <f t="shared" si="2"/>
        <v>0</v>
      </c>
      <c r="T51" s="66">
        <f t="shared" si="3"/>
        <v>0</v>
      </c>
      <c r="U51" s="66">
        <f t="shared" si="5"/>
        <v>0</v>
      </c>
      <c r="V51" s="66">
        <f t="shared" si="4"/>
        <v>0</v>
      </c>
    </row>
    <row r="52" spans="2:22" hidden="1" x14ac:dyDescent="0.25">
      <c r="B52" s="97" t="str">
        <f>+Ruta!B52</f>
        <v>SI</v>
      </c>
      <c r="C52" s="97">
        <f>+Ruta!C52</f>
        <v>49</v>
      </c>
      <c r="D52" s="97" t="str">
        <f>+Ruta!D52</f>
        <v>Cali</v>
      </c>
      <c r="E52" s="97" t="str">
        <f>+Ruta!E52</f>
        <v>TAT</v>
      </c>
      <c r="F52" s="97" t="str">
        <f>+Ruta!F52</f>
        <v>Ana Rosa Lopera</v>
      </c>
      <c r="G52" s="97" t="str">
        <f>+Ruta!G52</f>
        <v>Mercaplaza Mariano</v>
      </c>
      <c r="H52" s="97">
        <f>+Ruta!H52</f>
        <v>374330575</v>
      </c>
      <c r="I52" s="97" t="str">
        <f>+Ruta!I52</f>
        <v xml:space="preserve">Marques 3años Botella + Can Agte </v>
      </c>
      <c r="J52" s="97" t="str">
        <f>+Ruta!J52</f>
        <v>CLL 46 # 49-03</v>
      </c>
      <c r="K52" s="97">
        <f>+Ruta!K52</f>
        <v>1143836583</v>
      </c>
      <c r="L52" s="99">
        <v>0</v>
      </c>
      <c r="M52" s="78">
        <f>+Ruta!R52</f>
        <v>14</v>
      </c>
      <c r="N52" s="96">
        <v>4.6541005950600047E-4</v>
      </c>
      <c r="O52" s="66">
        <f t="shared" si="0"/>
        <v>0.46541005950600045</v>
      </c>
      <c r="P52" s="67">
        <v>3</v>
      </c>
      <c r="Q52" s="66">
        <v>3</v>
      </c>
      <c r="R52" s="66">
        <f t="shared" si="1"/>
        <v>1.3962301785180014</v>
      </c>
      <c r="S52" s="66">
        <f t="shared" si="2"/>
        <v>9</v>
      </c>
      <c r="T52" s="66">
        <f t="shared" si="3"/>
        <v>4.6541005950600045</v>
      </c>
      <c r="U52" s="66">
        <f t="shared" si="5"/>
        <v>30</v>
      </c>
      <c r="V52" s="66">
        <f t="shared" si="4"/>
        <v>9</v>
      </c>
    </row>
    <row r="53" spans="2:22" hidden="1" x14ac:dyDescent="0.25">
      <c r="B53" s="97" t="str">
        <f>+Ruta!B53</f>
        <v>NO</v>
      </c>
      <c r="C53" s="97">
        <f>+Ruta!C53</f>
        <v>50</v>
      </c>
      <c r="D53" s="97" t="str">
        <f>+Ruta!D53</f>
        <v>Cali</v>
      </c>
      <c r="E53" s="97" t="str">
        <f>+Ruta!E53</f>
        <v>TAT</v>
      </c>
      <c r="F53" s="97" t="str">
        <f>+Ruta!F53</f>
        <v>Ana Rosa Lopera</v>
      </c>
      <c r="G53" s="97" t="str">
        <f>+Ruta!G53</f>
        <v>Licores Yeya</v>
      </c>
      <c r="H53" s="97">
        <f>+Ruta!H53</f>
        <v>3178465387</v>
      </c>
      <c r="I53" s="97" t="str">
        <f>+Ruta!I53</f>
        <v xml:space="preserve">Marques 3años Botella + Can Agte </v>
      </c>
      <c r="J53" s="97" t="str">
        <f>+Ruta!J53</f>
        <v>CR 49A # 43-85</v>
      </c>
      <c r="K53" s="97">
        <f>+Ruta!K53</f>
        <v>51693168</v>
      </c>
      <c r="L53" s="101">
        <v>0</v>
      </c>
      <c r="M53" s="78">
        <f>+Ruta!R53</f>
        <v>0</v>
      </c>
      <c r="N53" s="96">
        <v>0</v>
      </c>
      <c r="O53" s="66">
        <f t="shared" si="0"/>
        <v>0</v>
      </c>
      <c r="P53" s="67"/>
      <c r="Q53" s="66">
        <v>0</v>
      </c>
      <c r="R53" s="66">
        <f t="shared" si="1"/>
        <v>0</v>
      </c>
      <c r="S53" s="66">
        <f t="shared" si="2"/>
        <v>0</v>
      </c>
      <c r="T53" s="66">
        <f t="shared" si="3"/>
        <v>0</v>
      </c>
      <c r="U53" s="66">
        <f t="shared" si="5"/>
        <v>0</v>
      </c>
      <c r="V53" s="66">
        <f t="shared" si="4"/>
        <v>0</v>
      </c>
    </row>
    <row r="54" spans="2:22" hidden="1" x14ac:dyDescent="0.25">
      <c r="B54" s="97" t="str">
        <f>+Ruta!B54</f>
        <v>NO</v>
      </c>
      <c r="C54" s="97">
        <f>+Ruta!C54</f>
        <v>51</v>
      </c>
      <c r="D54" s="97" t="str">
        <f>+Ruta!D54</f>
        <v>Cali</v>
      </c>
      <c r="E54" s="97" t="str">
        <f>+Ruta!E54</f>
        <v>TAT</v>
      </c>
      <c r="F54" s="97" t="str">
        <f>+Ruta!F54</f>
        <v>Ana Rosa Lopera</v>
      </c>
      <c r="G54" s="97" t="str">
        <f>+Ruta!G54</f>
        <v>supermercado Marce</v>
      </c>
      <c r="H54" s="97">
        <f>+Ruta!H54</f>
        <v>3113684406</v>
      </c>
      <c r="I54" s="97" t="str">
        <f>+Ruta!I54</f>
        <v xml:space="preserve">Marques 3años Botella + Can Agte </v>
      </c>
      <c r="J54" s="97" t="str">
        <f>+Ruta!J54</f>
        <v>CLL 83C # 20-74</v>
      </c>
      <c r="K54" s="97">
        <f>+Ruta!K54</f>
        <v>44007376</v>
      </c>
      <c r="L54" s="101">
        <v>0</v>
      </c>
      <c r="M54" s="78">
        <f>+Ruta!R54</f>
        <v>0</v>
      </c>
      <c r="N54" s="96">
        <v>0</v>
      </c>
      <c r="O54" s="66">
        <f t="shared" si="0"/>
        <v>0</v>
      </c>
      <c r="P54" s="67"/>
      <c r="Q54" s="66">
        <v>0</v>
      </c>
      <c r="R54" s="66">
        <f t="shared" si="1"/>
        <v>0</v>
      </c>
      <c r="S54" s="66">
        <f t="shared" si="2"/>
        <v>0</v>
      </c>
      <c r="T54" s="66">
        <f t="shared" si="3"/>
        <v>0</v>
      </c>
      <c r="U54" s="66">
        <f t="shared" si="5"/>
        <v>0</v>
      </c>
      <c r="V54" s="66">
        <f t="shared" si="4"/>
        <v>0</v>
      </c>
    </row>
    <row r="55" spans="2:22" hidden="1" x14ac:dyDescent="0.25">
      <c r="B55" s="97" t="str">
        <f>+Ruta!B55</f>
        <v>NO</v>
      </c>
      <c r="C55" s="97">
        <f>+Ruta!C55</f>
        <v>52</v>
      </c>
      <c r="D55" s="97" t="str">
        <f>+Ruta!D55</f>
        <v>Cali</v>
      </c>
      <c r="E55" s="97" t="str">
        <f>+Ruta!E55</f>
        <v>TAT</v>
      </c>
      <c r="F55" s="97" t="str">
        <f>+Ruta!F55</f>
        <v>Ana Rosa Lopera</v>
      </c>
      <c r="G55" s="97" t="str">
        <f>+Ruta!G55</f>
        <v>Granero Rey</v>
      </c>
      <c r="H55" s="97">
        <f>+Ruta!H55</f>
        <v>3750248</v>
      </c>
      <c r="I55" s="97" t="str">
        <f>+Ruta!I55</f>
        <v xml:space="preserve">Marques 3años Botella + Can Agte </v>
      </c>
      <c r="J55" s="97" t="str">
        <f>+Ruta!J55</f>
        <v>CLL 81A # 22-134</v>
      </c>
      <c r="K55" s="97">
        <f>+Ruta!K55</f>
        <v>94399540</v>
      </c>
      <c r="L55" s="101">
        <v>0</v>
      </c>
      <c r="M55" s="78">
        <f>+Ruta!R55</f>
        <v>0</v>
      </c>
      <c r="N55" s="96">
        <v>0</v>
      </c>
      <c r="O55" s="66">
        <f t="shared" si="0"/>
        <v>0</v>
      </c>
      <c r="P55" s="67"/>
      <c r="Q55" s="66">
        <v>0</v>
      </c>
      <c r="R55" s="66">
        <f t="shared" si="1"/>
        <v>0</v>
      </c>
      <c r="S55" s="66">
        <f t="shared" si="2"/>
        <v>0</v>
      </c>
      <c r="T55" s="66">
        <f t="shared" si="3"/>
        <v>0</v>
      </c>
      <c r="U55" s="66">
        <f t="shared" si="5"/>
        <v>0</v>
      </c>
      <c r="V55" s="66">
        <f t="shared" si="4"/>
        <v>0</v>
      </c>
    </row>
    <row r="56" spans="2:22" hidden="1" x14ac:dyDescent="0.25">
      <c r="B56" s="97" t="str">
        <f>+Ruta!B56</f>
        <v>SI</v>
      </c>
      <c r="C56" s="97">
        <f>+Ruta!C56</f>
        <v>53</v>
      </c>
      <c r="D56" s="97" t="str">
        <f>+Ruta!D56</f>
        <v>Cali</v>
      </c>
      <c r="E56" s="97" t="str">
        <f>+Ruta!E56</f>
        <v>TAT</v>
      </c>
      <c r="F56" s="97" t="str">
        <f>+Ruta!F56</f>
        <v>Ana Rosa Lopera</v>
      </c>
      <c r="G56" s="97" t="str">
        <f>+Ruta!G56</f>
        <v>supermercado Nuevo Progreso</v>
      </c>
      <c r="H56" s="97">
        <f>+Ruta!H56</f>
        <v>3760861</v>
      </c>
      <c r="I56" s="97" t="str">
        <f>+Ruta!I56</f>
        <v xml:space="preserve">Marques 3años Botella + Can Agte </v>
      </c>
      <c r="J56" s="97" t="str">
        <f>+Ruta!J56</f>
        <v>CR 34 # 26A-03</v>
      </c>
      <c r="K56" s="97">
        <f>+Ruta!K56</f>
        <v>15905205</v>
      </c>
      <c r="L56" s="78">
        <v>0</v>
      </c>
      <c r="M56" s="78">
        <f>+Ruta!R56</f>
        <v>14</v>
      </c>
      <c r="N56" s="96">
        <v>4.6541005950600047E-4</v>
      </c>
      <c r="O56" s="66">
        <f t="shared" si="0"/>
        <v>0.46541005950600045</v>
      </c>
      <c r="P56" s="67">
        <v>3</v>
      </c>
      <c r="Q56" s="66">
        <v>3</v>
      </c>
      <c r="R56" s="66">
        <f t="shared" si="1"/>
        <v>1.3962301785180014</v>
      </c>
      <c r="S56" s="66">
        <f t="shared" si="2"/>
        <v>9</v>
      </c>
      <c r="T56" s="66">
        <f t="shared" si="3"/>
        <v>4.6541005950600045</v>
      </c>
      <c r="U56" s="66">
        <f t="shared" si="5"/>
        <v>30</v>
      </c>
      <c r="V56" s="66">
        <f t="shared" si="4"/>
        <v>9</v>
      </c>
    </row>
    <row r="57" spans="2:22" hidden="1" x14ac:dyDescent="0.25">
      <c r="B57" s="97" t="str">
        <f>+Ruta!B57</f>
        <v>SI</v>
      </c>
      <c r="C57" s="97">
        <f>+Ruta!C57</f>
        <v>54</v>
      </c>
      <c r="D57" s="97" t="str">
        <f>+Ruta!D57</f>
        <v>Cali</v>
      </c>
      <c r="E57" s="97" t="str">
        <f>+Ruta!E57</f>
        <v>TAT</v>
      </c>
      <c r="F57" s="97" t="str">
        <f>+Ruta!F57</f>
        <v>Ana Rosa Lopera</v>
      </c>
      <c r="G57" s="97" t="str">
        <f>+Ruta!G57</f>
        <v>Rapitienda Caldas</v>
      </c>
      <c r="H57" s="97">
        <f>+Ruta!H57</f>
        <v>3137974910</v>
      </c>
      <c r="I57" s="97" t="str">
        <f>+Ruta!I57</f>
        <v xml:space="preserve">Marques 3años Botella + Can Agte </v>
      </c>
      <c r="J57" s="97" t="str">
        <f>+Ruta!J57</f>
        <v>CLL 26A # 38-09</v>
      </c>
      <c r="K57" s="97">
        <f>+Ruta!K57</f>
        <v>79887872</v>
      </c>
      <c r="L57" s="78">
        <v>0</v>
      </c>
      <c r="M57" s="78">
        <f>+Ruta!R57</f>
        <v>14</v>
      </c>
      <c r="N57" s="96">
        <v>4.6541005950600047E-4</v>
      </c>
      <c r="O57" s="66">
        <f t="shared" si="0"/>
        <v>0.46541005950600045</v>
      </c>
      <c r="P57" s="67">
        <v>3</v>
      </c>
      <c r="Q57" s="66">
        <v>3</v>
      </c>
      <c r="R57" s="66">
        <f t="shared" si="1"/>
        <v>1.3962301785180014</v>
      </c>
      <c r="S57" s="66">
        <f t="shared" si="2"/>
        <v>9</v>
      </c>
      <c r="T57" s="66">
        <f t="shared" si="3"/>
        <v>4.6541005950600045</v>
      </c>
      <c r="U57" s="66">
        <f t="shared" si="5"/>
        <v>30</v>
      </c>
      <c r="V57" s="66">
        <f t="shared" si="4"/>
        <v>9</v>
      </c>
    </row>
    <row r="58" spans="2:22" hidden="1" x14ac:dyDescent="0.25">
      <c r="B58" s="97" t="str">
        <f>+Ruta!B58</f>
        <v>NO</v>
      </c>
      <c r="C58" s="97">
        <f>+Ruta!C58</f>
        <v>55</v>
      </c>
      <c r="D58" s="97" t="str">
        <f>+Ruta!D58</f>
        <v>Cali</v>
      </c>
      <c r="E58" s="97" t="str">
        <f>+Ruta!E58</f>
        <v>TAT</v>
      </c>
      <c r="F58" s="97" t="str">
        <f>+Ruta!F58</f>
        <v>Ana Rosa Lopera</v>
      </c>
      <c r="G58" s="97" t="str">
        <f>+Ruta!G58</f>
        <v>Supermercado El Oasis</v>
      </c>
      <c r="H58" s="97">
        <f>+Ruta!H58</f>
        <v>4469845</v>
      </c>
      <c r="I58" s="97" t="str">
        <f>+Ruta!I58</f>
        <v xml:space="preserve">Marques 3años Botella + Can Agte </v>
      </c>
      <c r="J58" s="97" t="str">
        <f>+Ruta!J58</f>
        <v>CR 7N # 67N-42</v>
      </c>
      <c r="K58" s="97">
        <f>+Ruta!K58</f>
        <v>4485384</v>
      </c>
      <c r="L58" s="101">
        <v>0</v>
      </c>
      <c r="M58" s="78">
        <f>+Ruta!R58</f>
        <v>0</v>
      </c>
      <c r="N58" s="96">
        <v>0</v>
      </c>
      <c r="O58" s="66">
        <f t="shared" si="0"/>
        <v>0</v>
      </c>
      <c r="P58" s="67"/>
      <c r="Q58" s="66">
        <v>0</v>
      </c>
      <c r="R58" s="66">
        <f t="shared" si="1"/>
        <v>0</v>
      </c>
      <c r="S58" s="66">
        <f t="shared" si="2"/>
        <v>0</v>
      </c>
      <c r="T58" s="66">
        <f t="shared" si="3"/>
        <v>0</v>
      </c>
      <c r="U58" s="66">
        <f t="shared" si="5"/>
        <v>0</v>
      </c>
      <c r="V58" s="66">
        <f t="shared" si="4"/>
        <v>0</v>
      </c>
    </row>
    <row r="59" spans="2:22" hidden="1" x14ac:dyDescent="0.25">
      <c r="B59" s="97" t="str">
        <f>+Ruta!B59</f>
        <v>SI</v>
      </c>
      <c r="C59" s="97">
        <f>+Ruta!C59</f>
        <v>56</v>
      </c>
      <c r="D59" s="97" t="str">
        <f>+Ruta!D59</f>
        <v>Cali</v>
      </c>
      <c r="E59" s="97" t="str">
        <f>+Ruta!E59</f>
        <v>TAT</v>
      </c>
      <c r="F59" s="97" t="str">
        <f>+Ruta!F59</f>
        <v>Ana Rosa Lopera</v>
      </c>
      <c r="G59" s="97" t="str">
        <f>+Ruta!G59</f>
        <v>Nicolas Elias</v>
      </c>
      <c r="H59" s="97">
        <f>+Ruta!H59</f>
        <v>6662306</v>
      </c>
      <c r="I59" s="97" t="str">
        <f>+Ruta!I59</f>
        <v xml:space="preserve">Marques 3años Botella + Can Agte </v>
      </c>
      <c r="J59" s="97" t="str">
        <f>+Ruta!J59</f>
        <v>AV 3 E # 47C-20</v>
      </c>
      <c r="K59" s="97">
        <f>+Ruta!K59</f>
        <v>71371926</v>
      </c>
      <c r="L59" s="78">
        <v>0</v>
      </c>
      <c r="M59" s="78">
        <f>+Ruta!R59</f>
        <v>7</v>
      </c>
      <c r="N59" s="96">
        <v>2.3270502975300024E-4</v>
      </c>
      <c r="O59" s="66">
        <f t="shared" si="0"/>
        <v>0.23270502975300023</v>
      </c>
      <c r="P59" s="67">
        <v>3</v>
      </c>
      <c r="Q59" s="66">
        <v>3</v>
      </c>
      <c r="R59" s="66">
        <f t="shared" si="1"/>
        <v>0.69811508925900068</v>
      </c>
      <c r="S59" s="66">
        <f t="shared" si="2"/>
        <v>9</v>
      </c>
      <c r="T59" s="66">
        <f t="shared" si="3"/>
        <v>2.3270502975300023</v>
      </c>
      <c r="U59" s="66">
        <f t="shared" si="5"/>
        <v>30</v>
      </c>
      <c r="V59" s="66">
        <f t="shared" si="4"/>
        <v>9</v>
      </c>
    </row>
    <row r="60" spans="2:22" hidden="1" x14ac:dyDescent="0.25">
      <c r="B60" s="97" t="str">
        <f>+Ruta!B60</f>
        <v>SI</v>
      </c>
      <c r="C60" s="97">
        <f>+Ruta!C60</f>
        <v>57</v>
      </c>
      <c r="D60" s="97" t="str">
        <f>+Ruta!D60</f>
        <v>Cali</v>
      </c>
      <c r="E60" s="97" t="str">
        <f>+Ruta!E60</f>
        <v>TAT</v>
      </c>
      <c r="F60" s="97" t="str">
        <f>+Ruta!F60</f>
        <v>Ana Rosa Lopera</v>
      </c>
      <c r="G60" s="97" t="str">
        <f>+Ruta!G60</f>
        <v>Minarket 1000 y Mas</v>
      </c>
      <c r="H60" s="97">
        <f>+Ruta!H60</f>
        <v>3178814634</v>
      </c>
      <c r="I60" s="97" t="str">
        <f>+Ruta!I60</f>
        <v xml:space="preserve">Marques 3años Botella + Can Agte </v>
      </c>
      <c r="J60" s="97" t="str">
        <f>+Ruta!J60</f>
        <v>CLL 44N # 3-111</v>
      </c>
      <c r="K60" s="97">
        <f>+Ruta!K60</f>
        <v>16943799</v>
      </c>
      <c r="L60" s="78">
        <v>0</v>
      </c>
      <c r="M60" s="78">
        <f>+Ruta!R60</f>
        <v>14</v>
      </c>
      <c r="N60" s="96">
        <v>4.6541005950600047E-4</v>
      </c>
      <c r="O60" s="66">
        <f t="shared" si="0"/>
        <v>0.46541005950600045</v>
      </c>
      <c r="P60" s="67">
        <v>3</v>
      </c>
      <c r="Q60" s="66">
        <v>3</v>
      </c>
      <c r="R60" s="66">
        <f t="shared" si="1"/>
        <v>1.3962301785180014</v>
      </c>
      <c r="S60" s="66">
        <f t="shared" si="2"/>
        <v>9</v>
      </c>
      <c r="T60" s="66">
        <f t="shared" si="3"/>
        <v>4.6541005950600045</v>
      </c>
      <c r="U60" s="66">
        <f t="shared" si="5"/>
        <v>30</v>
      </c>
      <c r="V60" s="66">
        <f t="shared" si="4"/>
        <v>9</v>
      </c>
    </row>
    <row r="61" spans="2:22" hidden="1" x14ac:dyDescent="0.25">
      <c r="B61" s="97" t="str">
        <f>+Ruta!B61</f>
        <v>SI</v>
      </c>
      <c r="C61" s="97">
        <f>+Ruta!C61</f>
        <v>58</v>
      </c>
      <c r="D61" s="97" t="str">
        <f>+Ruta!D61</f>
        <v>Cali</v>
      </c>
      <c r="E61" s="97" t="str">
        <f>+Ruta!E61</f>
        <v>TAT</v>
      </c>
      <c r="F61" s="97" t="str">
        <f>+Ruta!F61</f>
        <v>Ana Rosa Lopera</v>
      </c>
      <c r="G61" s="97" t="str">
        <f>+Ruta!G61</f>
        <v>Brandon Carvajal</v>
      </c>
      <c r="H61" s="97">
        <f>+Ruta!H61</f>
        <v>3136372746</v>
      </c>
      <c r="I61" s="97" t="str">
        <f>+Ruta!I61</f>
        <v xml:space="preserve">Marques 3años Botella + Can Agte </v>
      </c>
      <c r="J61" s="97" t="str">
        <f>+Ruta!J61</f>
        <v>CLL 27 # 41C-37</v>
      </c>
      <c r="K61" s="97">
        <f>+Ruta!K61</f>
        <v>1107074996</v>
      </c>
      <c r="L61" s="78">
        <v>0</v>
      </c>
      <c r="M61" s="78">
        <f>+Ruta!R61</f>
        <v>0</v>
      </c>
      <c r="N61" s="96">
        <v>0</v>
      </c>
      <c r="O61" s="66">
        <f t="shared" si="0"/>
        <v>0</v>
      </c>
      <c r="P61" s="67"/>
      <c r="Q61" s="66">
        <v>0</v>
      </c>
      <c r="R61" s="66">
        <f t="shared" si="1"/>
        <v>0</v>
      </c>
      <c r="S61" s="66">
        <f t="shared" si="2"/>
        <v>0</v>
      </c>
      <c r="T61" s="66">
        <f t="shared" si="3"/>
        <v>0</v>
      </c>
      <c r="U61" s="66">
        <f t="shared" si="5"/>
        <v>0</v>
      </c>
      <c r="V61" s="66">
        <f t="shared" si="4"/>
        <v>0</v>
      </c>
    </row>
    <row r="62" spans="2:22" hidden="1" x14ac:dyDescent="0.25">
      <c r="B62" s="97" t="str">
        <f>+Ruta!B62</f>
        <v>SI</v>
      </c>
      <c r="C62" s="97">
        <f>+Ruta!C62</f>
        <v>59</v>
      </c>
      <c r="D62" s="97" t="str">
        <f>+Ruta!D62</f>
        <v>Cali</v>
      </c>
      <c r="E62" s="97" t="str">
        <f>+Ruta!E62</f>
        <v>TAT</v>
      </c>
      <c r="F62" s="97" t="str">
        <f>+Ruta!F62</f>
        <v>Ana Rosa Lopera</v>
      </c>
      <c r="G62" s="97" t="str">
        <f>+Ruta!G62</f>
        <v>Carolina Espinosa</v>
      </c>
      <c r="H62" s="97">
        <f>+Ruta!H62</f>
        <v>3132614285</v>
      </c>
      <c r="I62" s="97" t="str">
        <f>+Ruta!I62</f>
        <v xml:space="preserve">Marques 3años Botella + Can Agte </v>
      </c>
      <c r="J62" s="97" t="str">
        <f>+Ruta!J62</f>
        <v>CR 67 # 1A 0STE 07</v>
      </c>
      <c r="K62" s="97">
        <f>+Ruta!K62</f>
        <v>38644553</v>
      </c>
      <c r="L62" s="78">
        <v>0</v>
      </c>
      <c r="M62" s="78">
        <f>+Ruta!R62</f>
        <v>0</v>
      </c>
      <c r="N62" s="96">
        <v>0</v>
      </c>
      <c r="O62" s="66">
        <f t="shared" si="0"/>
        <v>0</v>
      </c>
      <c r="P62" s="67"/>
      <c r="Q62" s="66">
        <v>0</v>
      </c>
      <c r="R62" s="66">
        <f t="shared" si="1"/>
        <v>0</v>
      </c>
      <c r="S62" s="66">
        <f t="shared" si="2"/>
        <v>0</v>
      </c>
      <c r="T62" s="66">
        <f t="shared" si="3"/>
        <v>0</v>
      </c>
      <c r="U62" s="66">
        <f t="shared" si="5"/>
        <v>0</v>
      </c>
      <c r="V62" s="66">
        <f t="shared" si="4"/>
        <v>0</v>
      </c>
    </row>
    <row r="63" spans="2:22" hidden="1" x14ac:dyDescent="0.25">
      <c r="B63" s="97" t="str">
        <f>+Ruta!B63</f>
        <v>SI</v>
      </c>
      <c r="C63" s="97">
        <f>+Ruta!C63</f>
        <v>60</v>
      </c>
      <c r="D63" s="97" t="str">
        <f>+Ruta!D63</f>
        <v>Cali</v>
      </c>
      <c r="E63" s="97" t="str">
        <f>+Ruta!E63</f>
        <v>TAT</v>
      </c>
      <c r="F63" s="97" t="str">
        <f>+Ruta!F63</f>
        <v>Ana Rosa Lopera</v>
      </c>
      <c r="G63" s="97" t="str">
        <f>+Ruta!G63</f>
        <v>Licores Los Cerros</v>
      </c>
      <c r="H63" s="97">
        <f>+Ruta!H63</f>
        <v>3204796646</v>
      </c>
      <c r="I63" s="97" t="str">
        <f>+Ruta!I63</f>
        <v xml:space="preserve">Marques 3años Botella + Can Agte </v>
      </c>
      <c r="J63" s="97" t="str">
        <f>+Ruta!J63</f>
        <v>CLL1 #69-44</v>
      </c>
      <c r="K63" s="97">
        <f>+Ruta!K63</f>
        <v>94543390</v>
      </c>
      <c r="L63" s="78">
        <v>0</v>
      </c>
      <c r="M63" s="78">
        <f>+Ruta!R63</f>
        <v>21</v>
      </c>
      <c r="N63" s="96">
        <v>6.9811508925900071E-4</v>
      </c>
      <c r="O63" s="66">
        <f t="shared" si="0"/>
        <v>0.69811508925900068</v>
      </c>
      <c r="P63" s="67"/>
      <c r="Q63" s="66">
        <v>0</v>
      </c>
      <c r="R63" s="66">
        <f t="shared" si="1"/>
        <v>2.094345267777002</v>
      </c>
      <c r="S63" s="66">
        <v>9</v>
      </c>
      <c r="T63" s="66">
        <f t="shared" si="3"/>
        <v>6.9811508925900068</v>
      </c>
      <c r="U63" s="66">
        <v>30</v>
      </c>
      <c r="V63" s="66">
        <f t="shared" si="4"/>
        <v>9</v>
      </c>
    </row>
    <row r="64" spans="2:22" hidden="1" x14ac:dyDescent="0.25">
      <c r="B64" s="97" t="str">
        <f>+Ruta!B64</f>
        <v>SI</v>
      </c>
      <c r="C64" s="97">
        <f>+Ruta!C64</f>
        <v>61</v>
      </c>
      <c r="D64" s="97" t="str">
        <f>+Ruta!D64</f>
        <v>Cali</v>
      </c>
      <c r="E64" s="97" t="str">
        <f>+Ruta!E64</f>
        <v>TAT</v>
      </c>
      <c r="F64" s="97" t="str">
        <f>+Ruta!F64</f>
        <v>Ana Rosa Lopera</v>
      </c>
      <c r="G64" s="97" t="str">
        <f>+Ruta!G64</f>
        <v>La Rebajona</v>
      </c>
      <c r="H64" s="97">
        <f>+Ruta!H64</f>
        <v>3734192</v>
      </c>
      <c r="I64" s="97" t="str">
        <f>+Ruta!I64</f>
        <v xml:space="preserve">Marques 3años Botella + Can Agte </v>
      </c>
      <c r="J64" s="97" t="str">
        <f>+Ruta!J64</f>
        <v>CL 14A 53 03</v>
      </c>
      <c r="K64" s="97">
        <f>+Ruta!K64</f>
        <v>9855053</v>
      </c>
      <c r="L64" s="78">
        <v>0</v>
      </c>
      <c r="M64" s="78">
        <f>+Ruta!R64</f>
        <v>7</v>
      </c>
      <c r="N64" s="96">
        <v>2.3270502975300024E-4</v>
      </c>
      <c r="O64" s="66">
        <f t="shared" si="0"/>
        <v>0.23270502975300023</v>
      </c>
      <c r="P64" s="67">
        <v>3</v>
      </c>
      <c r="Q64" s="66">
        <v>3</v>
      </c>
      <c r="R64" s="66">
        <f t="shared" si="1"/>
        <v>0.69811508925900068</v>
      </c>
      <c r="S64" s="66">
        <f t="shared" si="2"/>
        <v>9</v>
      </c>
      <c r="T64" s="66">
        <f t="shared" si="3"/>
        <v>2.3270502975300023</v>
      </c>
      <c r="U64" s="66">
        <f t="shared" si="5"/>
        <v>30</v>
      </c>
      <c r="V64" s="66">
        <f t="shared" si="4"/>
        <v>9</v>
      </c>
    </row>
    <row r="65" spans="2:22 16379:16380" hidden="1" x14ac:dyDescent="0.25">
      <c r="B65" s="97" t="str">
        <f>+Ruta!B65</f>
        <v>NO</v>
      </c>
      <c r="C65" s="97">
        <f>+Ruta!C65</f>
        <v>62</v>
      </c>
      <c r="D65" s="97" t="str">
        <f>+Ruta!D65</f>
        <v>Cali</v>
      </c>
      <c r="E65" s="97" t="str">
        <f>+Ruta!E65</f>
        <v>TAT</v>
      </c>
      <c r="F65" s="97" t="str">
        <f>+Ruta!F65</f>
        <v>Ana Rosa Lopera</v>
      </c>
      <c r="G65" s="97" t="str">
        <f>+Ruta!G65</f>
        <v>Willian Urrea</v>
      </c>
      <c r="H65" s="97">
        <f>+Ruta!H65</f>
        <v>3776919</v>
      </c>
      <c r="I65" s="97" t="str">
        <f>+Ruta!I65</f>
        <v xml:space="preserve">Marques 3años Botella + Can Agte </v>
      </c>
      <c r="J65" s="97" t="str">
        <f>+Ruta!J65</f>
        <v>Kra 44 # 18 32</v>
      </c>
      <c r="K65" s="97">
        <f>+Ruta!K65</f>
        <v>10115498</v>
      </c>
      <c r="L65" s="101">
        <v>0</v>
      </c>
      <c r="M65" s="78">
        <f>+Ruta!R65</f>
        <v>0</v>
      </c>
      <c r="N65" s="96">
        <v>0</v>
      </c>
      <c r="O65" s="66">
        <f t="shared" si="0"/>
        <v>0</v>
      </c>
      <c r="P65" s="67"/>
      <c r="Q65" s="66">
        <v>0</v>
      </c>
      <c r="R65" s="66">
        <f t="shared" si="1"/>
        <v>0</v>
      </c>
      <c r="S65" s="66">
        <f t="shared" si="2"/>
        <v>0</v>
      </c>
      <c r="T65" s="66">
        <f t="shared" si="3"/>
        <v>0</v>
      </c>
      <c r="U65" s="66">
        <f t="shared" si="5"/>
        <v>0</v>
      </c>
      <c r="V65" s="66">
        <f t="shared" si="4"/>
        <v>0</v>
      </c>
      <c r="XEY65" s="29"/>
      <c r="XEZ65" s="30"/>
    </row>
    <row r="66" spans="2:22 16379:16380" hidden="1" x14ac:dyDescent="0.25">
      <c r="B66" s="97" t="str">
        <f>+Ruta!B66</f>
        <v>SI</v>
      </c>
      <c r="C66" s="97">
        <f>+Ruta!C66</f>
        <v>63</v>
      </c>
      <c r="D66" s="97" t="str">
        <f>+Ruta!D66</f>
        <v>Cali</v>
      </c>
      <c r="E66" s="97" t="str">
        <f>+Ruta!E66</f>
        <v>TAT</v>
      </c>
      <c r="F66" s="97" t="str">
        <f>+Ruta!F66</f>
        <v>Ana Rosa Lopera</v>
      </c>
      <c r="G66" s="97" t="str">
        <f>+Ruta!G66</f>
        <v>Licores El Baratisimo</v>
      </c>
      <c r="H66" s="97">
        <f>+Ruta!H66</f>
        <v>4339595</v>
      </c>
      <c r="I66" s="97" t="str">
        <f>+Ruta!I66</f>
        <v xml:space="preserve">Marques 3años Botella + Can Agte </v>
      </c>
      <c r="J66" s="97" t="str">
        <f>+Ruta!J66</f>
        <v>Kra 1 kn # 80 74</v>
      </c>
      <c r="K66" s="97">
        <f>+Ruta!K66</f>
        <v>1118296911</v>
      </c>
      <c r="L66" s="78">
        <v>2</v>
      </c>
      <c r="M66" s="78">
        <f>+Ruta!R66</f>
        <v>14</v>
      </c>
      <c r="N66" s="96">
        <v>4.6541005950600047E-4</v>
      </c>
      <c r="O66" s="66">
        <f t="shared" si="0"/>
        <v>0.46541005950600045</v>
      </c>
      <c r="P66" s="67">
        <v>3</v>
      </c>
      <c r="Q66" s="66">
        <v>3</v>
      </c>
      <c r="R66" s="66">
        <f t="shared" si="1"/>
        <v>1.3962301785180014</v>
      </c>
      <c r="S66" s="66">
        <f t="shared" si="2"/>
        <v>9</v>
      </c>
      <c r="T66" s="66">
        <f t="shared" si="3"/>
        <v>4.6541005950600045</v>
      </c>
      <c r="U66" s="66">
        <f t="shared" si="5"/>
        <v>30</v>
      </c>
      <c r="V66" s="66">
        <f t="shared" si="4"/>
        <v>9</v>
      </c>
    </row>
    <row r="67" spans="2:22 16379:16380" hidden="1" x14ac:dyDescent="0.25">
      <c r="B67" s="97" t="str">
        <f>+Ruta!B67</f>
        <v>NO</v>
      </c>
      <c r="C67" s="97">
        <f>+Ruta!C67</f>
        <v>64</v>
      </c>
      <c r="D67" s="97" t="str">
        <f>+Ruta!D67</f>
        <v>Cali</v>
      </c>
      <c r="E67" s="97" t="str">
        <f>+Ruta!E67</f>
        <v>TAT</v>
      </c>
      <c r="F67" s="97" t="str">
        <f>+Ruta!F67</f>
        <v>Ana Rosa Lopera</v>
      </c>
      <c r="G67" s="97" t="str">
        <f>+Ruta!G67</f>
        <v>Licores El Progreso</v>
      </c>
      <c r="H67" s="97">
        <f>+Ruta!H67</f>
        <v>3185227444</v>
      </c>
      <c r="I67" s="97" t="str">
        <f>+Ruta!I67</f>
        <v xml:space="preserve">Marques 3años Botella + Can Agte </v>
      </c>
      <c r="J67" s="97" t="str">
        <f>+Ruta!J67</f>
        <v>Kra 1D  # 74  25</v>
      </c>
      <c r="K67" s="97">
        <f>+Ruta!K67</f>
        <v>0</v>
      </c>
      <c r="L67" s="99">
        <v>0</v>
      </c>
      <c r="M67" s="78">
        <f>+Ruta!R67</f>
        <v>0</v>
      </c>
      <c r="N67" s="96">
        <v>0</v>
      </c>
      <c r="O67" s="66">
        <f t="shared" si="0"/>
        <v>0</v>
      </c>
      <c r="P67" s="67"/>
      <c r="Q67" s="66">
        <v>0</v>
      </c>
      <c r="R67" s="66">
        <f t="shared" si="1"/>
        <v>0</v>
      </c>
      <c r="S67" s="66">
        <f t="shared" si="2"/>
        <v>0</v>
      </c>
      <c r="T67" s="66">
        <f t="shared" si="3"/>
        <v>0</v>
      </c>
      <c r="U67" s="66">
        <f t="shared" si="5"/>
        <v>0</v>
      </c>
      <c r="V67" s="66">
        <f t="shared" si="4"/>
        <v>0</v>
      </c>
    </row>
    <row r="68" spans="2:22 16379:16380" hidden="1" x14ac:dyDescent="0.25">
      <c r="B68" s="97" t="str">
        <f>+Ruta!B68</f>
        <v>SI</v>
      </c>
      <c r="C68" s="97">
        <f>+Ruta!C68</f>
        <v>65</v>
      </c>
      <c r="D68" s="97" t="str">
        <f>+Ruta!D68</f>
        <v>Cali</v>
      </c>
      <c r="E68" s="97" t="str">
        <f>+Ruta!E68</f>
        <v>TAT</v>
      </c>
      <c r="F68" s="97" t="str">
        <f>+Ruta!F68</f>
        <v>Ana Rosa Lopera</v>
      </c>
      <c r="G68" s="97" t="str">
        <f>+Ruta!G68</f>
        <v>Marco Tulio Giraldo</v>
      </c>
      <c r="H68" s="97">
        <f>+Ruta!H68</f>
        <v>4333355</v>
      </c>
      <c r="I68" s="97" t="str">
        <f>+Ruta!I68</f>
        <v xml:space="preserve">Marques 3años Botella + Can Agte </v>
      </c>
      <c r="J68" s="97" t="str">
        <f>+Ruta!J68</f>
        <v>Cl 76A # 1D 03</v>
      </c>
      <c r="K68" s="97">
        <f>+Ruta!K68</f>
        <v>70830067</v>
      </c>
      <c r="L68" s="78">
        <v>0</v>
      </c>
      <c r="M68" s="78">
        <f>+Ruta!R68</f>
        <v>7</v>
      </c>
      <c r="N68" s="96">
        <v>2.3270502975300024E-4</v>
      </c>
      <c r="O68" s="66">
        <f t="shared" si="0"/>
        <v>0.23270502975300023</v>
      </c>
      <c r="P68" s="67">
        <v>3</v>
      </c>
      <c r="Q68" s="66">
        <v>3</v>
      </c>
      <c r="R68" s="66">
        <f t="shared" si="1"/>
        <v>0.69811508925900068</v>
      </c>
      <c r="S68" s="66">
        <f t="shared" si="2"/>
        <v>9</v>
      </c>
      <c r="T68" s="66">
        <f t="shared" si="3"/>
        <v>2.3270502975300023</v>
      </c>
      <c r="U68" s="66">
        <f t="shared" si="5"/>
        <v>30</v>
      </c>
      <c r="V68" s="66">
        <f t="shared" si="4"/>
        <v>9</v>
      </c>
    </row>
    <row r="69" spans="2:22 16379:16380" hidden="1" x14ac:dyDescent="0.25">
      <c r="B69" s="97" t="str">
        <f>+Ruta!B69</f>
        <v>SI</v>
      </c>
      <c r="C69" s="97">
        <f>+Ruta!C69</f>
        <v>66</v>
      </c>
      <c r="D69" s="97" t="str">
        <f>+Ruta!D69</f>
        <v>Cali</v>
      </c>
      <c r="E69" s="97" t="str">
        <f>+Ruta!E69</f>
        <v>TAT</v>
      </c>
      <c r="F69" s="97" t="str">
        <f>+Ruta!F69</f>
        <v>Ana Rosa Lopera</v>
      </c>
      <c r="G69" s="97" t="str">
        <f>+Ruta!G69</f>
        <v>Licores Sanchez</v>
      </c>
      <c r="H69" s="97">
        <f>+Ruta!H69</f>
        <v>3184662902</v>
      </c>
      <c r="I69" s="97" t="str">
        <f>+Ruta!I69</f>
        <v xml:space="preserve">Marques 3años Botella + Can Agte </v>
      </c>
      <c r="J69" s="97" t="str">
        <f>+Ruta!J69</f>
        <v>Kra 27 # 33 E 39</v>
      </c>
      <c r="K69" s="97">
        <f>+Ruta!K69</f>
        <v>66818508</v>
      </c>
      <c r="L69" s="78">
        <v>0</v>
      </c>
      <c r="M69" s="78">
        <f>+Ruta!R69</f>
        <v>0</v>
      </c>
      <c r="N69" s="96">
        <v>0</v>
      </c>
      <c r="O69" s="66">
        <f t="shared" ref="O69:O132" si="6">+O$3*N69</f>
        <v>0</v>
      </c>
      <c r="P69" s="67">
        <v>3</v>
      </c>
      <c r="Q69" s="66">
        <v>3</v>
      </c>
      <c r="R69" s="66">
        <f t="shared" ref="R69:R132" si="7">+R$3*N69</f>
        <v>0</v>
      </c>
      <c r="S69" s="66">
        <f t="shared" ref="S69:S132" si="8">+P69*3</f>
        <v>9</v>
      </c>
      <c r="T69" s="66">
        <f t="shared" ref="T69:T132" si="9">+T$3*N69</f>
        <v>0</v>
      </c>
      <c r="U69" s="66">
        <f t="shared" ref="U69:U132" si="10">+Q69*10</f>
        <v>30</v>
      </c>
      <c r="V69" s="66">
        <f t="shared" ref="V69:V132" si="11">+S69</f>
        <v>9</v>
      </c>
    </row>
    <row r="70" spans="2:22 16379:16380" hidden="1" x14ac:dyDescent="0.25">
      <c r="B70" s="97" t="str">
        <f>+Ruta!B70</f>
        <v>SI</v>
      </c>
      <c r="C70" s="97">
        <f>+Ruta!C70</f>
        <v>67</v>
      </c>
      <c r="D70" s="97" t="str">
        <f>+Ruta!D70</f>
        <v>Cali</v>
      </c>
      <c r="E70" s="97" t="str">
        <f>+Ruta!E70</f>
        <v>TAT</v>
      </c>
      <c r="F70" s="97" t="str">
        <f>+Ruta!F70</f>
        <v>Ana Rosa Lopera</v>
      </c>
      <c r="G70" s="97" t="str">
        <f>+Ruta!G70</f>
        <v>Granero El Buen Precio</v>
      </c>
      <c r="H70" s="97">
        <f>+Ruta!H70</f>
        <v>4412666</v>
      </c>
      <c r="I70" s="97" t="str">
        <f>+Ruta!I70</f>
        <v xml:space="preserve">Marques 3años Botella + Can Agte </v>
      </c>
      <c r="J70" s="97" t="str">
        <f>+Ruta!J70</f>
        <v>CLL 34 # 25A-03</v>
      </c>
      <c r="K70" s="97">
        <f>+Ruta!K70</f>
        <v>6162317</v>
      </c>
      <c r="L70" s="78">
        <v>0</v>
      </c>
      <c r="M70" s="78">
        <f>+Ruta!R70</f>
        <v>5</v>
      </c>
      <c r="N70" s="96">
        <v>1.6621787839500015E-4</v>
      </c>
      <c r="O70" s="66">
        <f t="shared" si="6"/>
        <v>0.16621787839500016</v>
      </c>
      <c r="P70" s="67">
        <v>3</v>
      </c>
      <c r="Q70" s="66">
        <v>3</v>
      </c>
      <c r="R70" s="66">
        <f t="shared" si="7"/>
        <v>0.49865363518500044</v>
      </c>
      <c r="S70" s="66">
        <f t="shared" si="8"/>
        <v>9</v>
      </c>
      <c r="T70" s="66">
        <f t="shared" si="9"/>
        <v>1.6621787839500015</v>
      </c>
      <c r="U70" s="66">
        <f t="shared" si="10"/>
        <v>30</v>
      </c>
      <c r="V70" s="66">
        <f t="shared" si="11"/>
        <v>9</v>
      </c>
    </row>
    <row r="71" spans="2:22 16379:16380" hidden="1" x14ac:dyDescent="0.25">
      <c r="B71" s="97" t="str">
        <f>+Ruta!B71</f>
        <v>NO</v>
      </c>
      <c r="C71" s="97">
        <f>+Ruta!C71</f>
        <v>68</v>
      </c>
      <c r="D71" s="97" t="str">
        <f>+Ruta!D71</f>
        <v>Cali</v>
      </c>
      <c r="E71" s="97" t="str">
        <f>+Ruta!E71</f>
        <v>TAT</v>
      </c>
      <c r="F71" s="97" t="str">
        <f>+Ruta!F71</f>
        <v>Ana Rosa Lopera</v>
      </c>
      <c r="G71" s="97" t="str">
        <f>+Ruta!G71</f>
        <v>Clara Esperanza Ardila</v>
      </c>
      <c r="H71" s="97">
        <f>+Ruta!H71</f>
        <v>4441530</v>
      </c>
      <c r="I71" s="97" t="str">
        <f>+Ruta!I71</f>
        <v xml:space="preserve">Marques 3años Botella + Can Agte </v>
      </c>
      <c r="J71" s="97" t="str">
        <f>+Ruta!J71</f>
        <v>Kra 24# 43 65</v>
      </c>
      <c r="K71" s="97">
        <f>+Ruta!K71</f>
        <v>31272995</v>
      </c>
      <c r="L71" s="101">
        <v>0</v>
      </c>
      <c r="M71" s="78">
        <f>+Ruta!R71</f>
        <v>0</v>
      </c>
      <c r="N71" s="96">
        <v>0</v>
      </c>
      <c r="O71" s="66">
        <f t="shared" si="6"/>
        <v>0</v>
      </c>
      <c r="P71" s="67"/>
      <c r="Q71" s="66">
        <v>0</v>
      </c>
      <c r="R71" s="66">
        <f t="shared" si="7"/>
        <v>0</v>
      </c>
      <c r="S71" s="66">
        <f t="shared" si="8"/>
        <v>0</v>
      </c>
      <c r="T71" s="66">
        <f t="shared" si="9"/>
        <v>0</v>
      </c>
      <c r="U71" s="66">
        <f t="shared" si="10"/>
        <v>0</v>
      </c>
      <c r="V71" s="66">
        <f t="shared" si="11"/>
        <v>0</v>
      </c>
    </row>
    <row r="72" spans="2:22 16379:16380" hidden="1" x14ac:dyDescent="0.25">
      <c r="B72" s="97" t="str">
        <f>+Ruta!B72</f>
        <v>NO</v>
      </c>
      <c r="C72" s="97">
        <f>+Ruta!C72</f>
        <v>69</v>
      </c>
      <c r="D72" s="97" t="str">
        <f>+Ruta!D72</f>
        <v>Cali</v>
      </c>
      <c r="E72" s="97" t="str">
        <f>+Ruta!E72</f>
        <v>TAT</v>
      </c>
      <c r="F72" s="97" t="str">
        <f>+Ruta!F72</f>
        <v>Ana Rosa Lopera</v>
      </c>
      <c r="G72" s="97" t="str">
        <f>+Ruta!G72</f>
        <v>Licores Las Morochas</v>
      </c>
      <c r="H72" s="97">
        <f>+Ruta!H72</f>
        <v>4454407</v>
      </c>
      <c r="I72" s="97" t="str">
        <f>+Ruta!I72</f>
        <v xml:space="preserve">Marques 3años Botella + Can Agte </v>
      </c>
      <c r="J72" s="97" t="str">
        <f>+Ruta!J72</f>
        <v>CL 50# 28 A 28</v>
      </c>
      <c r="K72" s="97">
        <f>+Ruta!K72</f>
        <v>41474010</v>
      </c>
      <c r="L72" s="101">
        <v>0</v>
      </c>
      <c r="M72" s="78">
        <f>+Ruta!R72</f>
        <v>0</v>
      </c>
      <c r="N72" s="96">
        <v>0</v>
      </c>
      <c r="O72" s="66">
        <f t="shared" si="6"/>
        <v>0</v>
      </c>
      <c r="P72" s="67"/>
      <c r="Q72" s="66">
        <v>0</v>
      </c>
      <c r="R72" s="66">
        <f t="shared" si="7"/>
        <v>0</v>
      </c>
      <c r="S72" s="66">
        <f t="shared" si="8"/>
        <v>0</v>
      </c>
      <c r="T72" s="66">
        <f t="shared" si="9"/>
        <v>0</v>
      </c>
      <c r="U72" s="66">
        <f t="shared" si="10"/>
        <v>0</v>
      </c>
      <c r="V72" s="66">
        <f t="shared" si="11"/>
        <v>0</v>
      </c>
    </row>
    <row r="73" spans="2:22 16379:16380" hidden="1" x14ac:dyDescent="0.25">
      <c r="B73" s="97" t="str">
        <f>+Ruta!B73</f>
        <v>SI</v>
      </c>
      <c r="C73" s="97">
        <f>+Ruta!C73</f>
        <v>70</v>
      </c>
      <c r="D73" s="97" t="str">
        <f>+Ruta!D73</f>
        <v>Cali</v>
      </c>
      <c r="E73" s="97" t="str">
        <f>+Ruta!E73</f>
        <v>TAT</v>
      </c>
      <c r="F73" s="97" t="str">
        <f>+Ruta!F73</f>
        <v>Ana Rosa Lopera</v>
      </c>
      <c r="G73" s="97" t="str">
        <f>+Ruta!G73</f>
        <v>Licores La Abundancia</v>
      </c>
      <c r="H73" s="97">
        <f>+Ruta!H73</f>
        <v>3154673318</v>
      </c>
      <c r="I73" s="97" t="str">
        <f>+Ruta!I73</f>
        <v xml:space="preserve">Marques 3años Botella + Can Agte </v>
      </c>
      <c r="J73" s="97" t="str">
        <f>+Ruta!J73</f>
        <v>CL 72B# 28D3- 123</v>
      </c>
      <c r="K73" s="97">
        <f>+Ruta!K73</f>
        <v>31988790</v>
      </c>
      <c r="L73" s="78">
        <v>0</v>
      </c>
      <c r="M73" s="78">
        <f>+Ruta!R73</f>
        <v>7</v>
      </c>
      <c r="N73" s="96">
        <v>2.3270502975300024E-4</v>
      </c>
      <c r="O73" s="66">
        <f t="shared" si="6"/>
        <v>0.23270502975300023</v>
      </c>
      <c r="P73" s="67">
        <v>3</v>
      </c>
      <c r="Q73" s="66">
        <v>3</v>
      </c>
      <c r="R73" s="66">
        <f t="shared" si="7"/>
        <v>0.69811508925900068</v>
      </c>
      <c r="S73" s="66">
        <f t="shared" si="8"/>
        <v>9</v>
      </c>
      <c r="T73" s="66">
        <f t="shared" si="9"/>
        <v>2.3270502975300023</v>
      </c>
      <c r="U73" s="66">
        <f t="shared" si="10"/>
        <v>30</v>
      </c>
      <c r="V73" s="66">
        <f t="shared" si="11"/>
        <v>9</v>
      </c>
    </row>
    <row r="74" spans="2:22 16379:16380" hidden="1" x14ac:dyDescent="0.25">
      <c r="B74" s="97" t="str">
        <f>+Ruta!B74</f>
        <v>NO</v>
      </c>
      <c r="C74" s="97">
        <f>+Ruta!C74</f>
        <v>71</v>
      </c>
      <c r="D74" s="97" t="str">
        <f>+Ruta!D74</f>
        <v>Cali</v>
      </c>
      <c r="E74" s="97" t="str">
        <f>+Ruta!E74</f>
        <v>TAT</v>
      </c>
      <c r="F74" s="97" t="str">
        <f>+Ruta!F74</f>
        <v>Ana Rosa Lopera</v>
      </c>
      <c r="G74" s="97" t="str">
        <f>+Ruta!G74</f>
        <v>Campo Alegre</v>
      </c>
      <c r="H74" s="97">
        <f>+Ruta!H74</f>
        <v>3174705696</v>
      </c>
      <c r="I74" s="97" t="str">
        <f>+Ruta!I74</f>
        <v xml:space="preserve">Marques 3años Botella + Can Agte </v>
      </c>
      <c r="J74" s="97" t="str">
        <f>+Ruta!J74</f>
        <v>CL 12 OESTE #36-42</v>
      </c>
      <c r="K74" s="97">
        <f>+Ruta!K74</f>
        <v>967023320</v>
      </c>
      <c r="L74" s="101">
        <v>0</v>
      </c>
      <c r="M74" s="78">
        <f>+Ruta!R74</f>
        <v>0</v>
      </c>
      <c r="N74" s="96">
        <v>0</v>
      </c>
      <c r="O74" s="66">
        <f t="shared" si="6"/>
        <v>0</v>
      </c>
      <c r="P74" s="67"/>
      <c r="Q74" s="66">
        <v>0</v>
      </c>
      <c r="R74" s="66">
        <f t="shared" si="7"/>
        <v>0</v>
      </c>
      <c r="S74" s="66">
        <f t="shared" si="8"/>
        <v>0</v>
      </c>
      <c r="T74" s="66">
        <f t="shared" si="9"/>
        <v>0</v>
      </c>
      <c r="U74" s="66">
        <f t="shared" si="10"/>
        <v>0</v>
      </c>
      <c r="V74" s="66">
        <f t="shared" si="11"/>
        <v>0</v>
      </c>
    </row>
    <row r="75" spans="2:22 16379:16380" hidden="1" x14ac:dyDescent="0.25">
      <c r="B75" s="97" t="str">
        <f>+Ruta!B75</f>
        <v>SI</v>
      </c>
      <c r="C75" s="97">
        <f>+Ruta!C75</f>
        <v>72</v>
      </c>
      <c r="D75" s="97" t="str">
        <f>+Ruta!D75</f>
        <v>Cali</v>
      </c>
      <c r="E75" s="97" t="str">
        <f>+Ruta!E75</f>
        <v>TAT</v>
      </c>
      <c r="F75" s="97" t="str">
        <f>+Ruta!F75</f>
        <v>Ana Rosa Lopera</v>
      </c>
      <c r="G75" s="97" t="str">
        <f>+Ruta!G75</f>
        <v>Tienda Rojo y Verde</v>
      </c>
      <c r="H75" s="97">
        <f>+Ruta!H75</f>
        <v>3113630033</v>
      </c>
      <c r="I75" s="97" t="str">
        <f>+Ruta!I75</f>
        <v xml:space="preserve">Marques 3años Botella + Can Agte </v>
      </c>
      <c r="J75" s="97" t="str">
        <f>+Ruta!J75</f>
        <v>oeste santa teresita, Av. 2 Oe</v>
      </c>
      <c r="K75" s="97">
        <f>+Ruta!K75</f>
        <v>16713789</v>
      </c>
      <c r="L75" s="78">
        <v>0</v>
      </c>
      <c r="M75" s="78">
        <f>+Ruta!R75</f>
        <v>7</v>
      </c>
      <c r="N75" s="96">
        <v>2.3270502975300024E-4</v>
      </c>
      <c r="O75" s="66">
        <f t="shared" si="6"/>
        <v>0.23270502975300023</v>
      </c>
      <c r="P75" s="67">
        <v>3</v>
      </c>
      <c r="Q75" s="66">
        <v>3</v>
      </c>
      <c r="R75" s="66">
        <f t="shared" si="7"/>
        <v>0.69811508925900068</v>
      </c>
      <c r="S75" s="66">
        <f t="shared" si="8"/>
        <v>9</v>
      </c>
      <c r="T75" s="66">
        <f t="shared" si="9"/>
        <v>2.3270502975300023</v>
      </c>
      <c r="U75" s="66">
        <f t="shared" si="10"/>
        <v>30</v>
      </c>
      <c r="V75" s="66">
        <f t="shared" si="11"/>
        <v>9</v>
      </c>
    </row>
    <row r="76" spans="2:22 16379:16380" hidden="1" x14ac:dyDescent="0.25">
      <c r="B76" s="97" t="str">
        <f>+Ruta!B76</f>
        <v>SI</v>
      </c>
      <c r="C76" s="97">
        <f>+Ruta!C76</f>
        <v>73</v>
      </c>
      <c r="D76" s="97" t="str">
        <f>+Ruta!D76</f>
        <v>Poblado Campestre</v>
      </c>
      <c r="E76" s="97" t="str">
        <f>+Ruta!E76</f>
        <v>TAT</v>
      </c>
      <c r="F76" s="97" t="str">
        <f>+Ruta!F76</f>
        <v>Ana Rosa Lopera</v>
      </c>
      <c r="G76" s="97" t="str">
        <f>+Ruta!G76</f>
        <v>Tienda y Licores Mas Barato</v>
      </c>
      <c r="H76" s="97">
        <f>+Ruta!H76</f>
        <v>3006673631</v>
      </c>
      <c r="I76" s="97" t="str">
        <f>+Ruta!I76</f>
        <v xml:space="preserve">Marques 3años Botella + Can Agte </v>
      </c>
      <c r="J76" s="97" t="str">
        <f>+Ruta!J76</f>
        <v>MANZANA 28 CASA 22-05</v>
      </c>
      <c r="K76" s="97">
        <f>+Ruta!K76</f>
        <v>1130679015</v>
      </c>
      <c r="L76" s="78">
        <v>0</v>
      </c>
      <c r="M76" s="78">
        <f>+Ruta!R76</f>
        <v>7</v>
      </c>
      <c r="N76" s="96">
        <v>2.3270502975300024E-4</v>
      </c>
      <c r="O76" s="66">
        <f t="shared" si="6"/>
        <v>0.23270502975300023</v>
      </c>
      <c r="P76" s="67">
        <v>3</v>
      </c>
      <c r="Q76" s="66">
        <v>3</v>
      </c>
      <c r="R76" s="66">
        <f t="shared" si="7"/>
        <v>0.69811508925900068</v>
      </c>
      <c r="S76" s="66">
        <f t="shared" si="8"/>
        <v>9</v>
      </c>
      <c r="T76" s="66">
        <f t="shared" si="9"/>
        <v>2.3270502975300023</v>
      </c>
      <c r="U76" s="66">
        <f t="shared" si="10"/>
        <v>30</v>
      </c>
      <c r="V76" s="66">
        <f t="shared" si="11"/>
        <v>9</v>
      </c>
    </row>
    <row r="77" spans="2:22 16379:16380" hidden="1" x14ac:dyDescent="0.25">
      <c r="B77" s="97" t="str">
        <f>+Ruta!B77</f>
        <v>SI</v>
      </c>
      <c r="C77" s="97">
        <f>+Ruta!C77</f>
        <v>74</v>
      </c>
      <c r="D77" s="97" t="str">
        <f>+Ruta!D77</f>
        <v>Poblado Campestre</v>
      </c>
      <c r="E77" s="97" t="str">
        <f>+Ruta!E77</f>
        <v>TAT</v>
      </c>
      <c r="F77" s="97" t="str">
        <f>+Ruta!F77</f>
        <v>Ana Rosa Lopera</v>
      </c>
      <c r="G77" s="97" t="str">
        <f>+Ruta!G77</f>
        <v>Minimarket El Majo</v>
      </c>
      <c r="H77" s="97">
        <f>+Ruta!H77</f>
        <v>3174559610</v>
      </c>
      <c r="I77" s="97" t="str">
        <f>+Ruta!I77</f>
        <v xml:space="preserve">Marques 3años Botella + Can Agte </v>
      </c>
      <c r="J77" s="97" t="str">
        <f>+Ruta!J77</f>
        <v>Calle 22 con carrera 41 oeste, manzana 30 casa 24,</v>
      </c>
      <c r="K77" s="97">
        <f>+Ruta!K77</f>
        <v>66993437</v>
      </c>
      <c r="L77" s="78">
        <v>0</v>
      </c>
      <c r="M77" s="78">
        <f>+Ruta!R77</f>
        <v>3</v>
      </c>
      <c r="N77" s="96">
        <v>9.9730727037000098E-5</v>
      </c>
      <c r="O77" s="66">
        <f t="shared" si="6"/>
        <v>9.9730727037000103E-2</v>
      </c>
      <c r="P77" s="67">
        <v>3</v>
      </c>
      <c r="Q77" s="66">
        <v>3</v>
      </c>
      <c r="R77" s="66">
        <f t="shared" si="7"/>
        <v>0.29919218111100027</v>
      </c>
      <c r="S77" s="66">
        <f t="shared" si="8"/>
        <v>9</v>
      </c>
      <c r="T77" s="66">
        <f t="shared" si="9"/>
        <v>0.997307270370001</v>
      </c>
      <c r="U77" s="66">
        <f t="shared" si="10"/>
        <v>30</v>
      </c>
      <c r="V77" s="66">
        <f t="shared" si="11"/>
        <v>9</v>
      </c>
    </row>
    <row r="78" spans="2:22 16379:16380" hidden="1" x14ac:dyDescent="0.25">
      <c r="B78" s="97" t="str">
        <f>+Ruta!B78</f>
        <v>SI</v>
      </c>
      <c r="C78" s="97">
        <f>+Ruta!C78</f>
        <v>75</v>
      </c>
      <c r="D78" s="97" t="str">
        <f>+Ruta!D78</f>
        <v>Poblado Campestre</v>
      </c>
      <c r="E78" s="97" t="str">
        <f>+Ruta!E78</f>
        <v>TAT</v>
      </c>
      <c r="F78" s="97" t="str">
        <f>+Ruta!F78</f>
        <v>Ana Rosa Lopera</v>
      </c>
      <c r="G78" s="97" t="str">
        <f>+Ruta!G78</f>
        <v>Rendimercado Las 2 Palmas</v>
      </c>
      <c r="H78" s="97">
        <f>+Ruta!H78</f>
        <v>3122879341</v>
      </c>
      <c r="I78" s="97" t="str">
        <f>+Ruta!I78</f>
        <v xml:space="preserve">Marques 3años Botella + Can Agte </v>
      </c>
      <c r="J78" s="97" t="str">
        <f>+Ruta!J78</f>
        <v xml:space="preserve">Carrera 4 #9-09 </v>
      </c>
      <c r="K78" s="97">
        <f>+Ruta!K78</f>
        <v>10389034</v>
      </c>
      <c r="L78" s="78">
        <v>0</v>
      </c>
      <c r="M78" s="78">
        <f>+Ruta!R78</f>
        <v>0</v>
      </c>
      <c r="N78" s="96">
        <v>0</v>
      </c>
      <c r="O78" s="66">
        <f t="shared" si="6"/>
        <v>0</v>
      </c>
      <c r="P78" s="67">
        <v>3</v>
      </c>
      <c r="Q78" s="66">
        <v>3</v>
      </c>
      <c r="R78" s="66">
        <f t="shared" si="7"/>
        <v>0</v>
      </c>
      <c r="S78" s="66">
        <f t="shared" si="8"/>
        <v>9</v>
      </c>
      <c r="T78" s="66">
        <f t="shared" si="9"/>
        <v>0</v>
      </c>
      <c r="U78" s="66">
        <f t="shared" si="10"/>
        <v>30</v>
      </c>
      <c r="V78" s="66">
        <f t="shared" si="11"/>
        <v>9</v>
      </c>
    </row>
    <row r="79" spans="2:22 16379:16380" hidden="1" x14ac:dyDescent="0.25">
      <c r="B79" s="97" t="str">
        <f>+Ruta!B79</f>
        <v>NO</v>
      </c>
      <c r="C79" s="97">
        <f>+Ruta!C79</f>
        <v>76</v>
      </c>
      <c r="D79" s="97" t="str">
        <f>+Ruta!D79</f>
        <v>Cali</v>
      </c>
      <c r="E79" s="97" t="str">
        <f>+Ruta!E79</f>
        <v>TAT</v>
      </c>
      <c r="F79" s="97" t="str">
        <f>+Ruta!F79</f>
        <v>Ana Rosa Lopera</v>
      </c>
      <c r="G79" s="97" t="str">
        <f>+Ruta!G79</f>
        <v>Rapitienda Leonardo</v>
      </c>
      <c r="H79" s="97">
        <f>+Ruta!H79</f>
        <v>3122765236</v>
      </c>
      <c r="I79" s="97" t="str">
        <f>+Ruta!I79</f>
        <v xml:space="preserve">Marques 3años Botella + Can Agte </v>
      </c>
      <c r="J79" s="97" t="str">
        <f>+Ruta!J79</f>
        <v xml:space="preserve">Cll 1oeste #52-380 </v>
      </c>
      <c r="K79" s="97">
        <f>+Ruta!K79</f>
        <v>67013451</v>
      </c>
      <c r="L79" s="101">
        <v>0</v>
      </c>
      <c r="M79" s="78">
        <f>+Ruta!R79</f>
        <v>0</v>
      </c>
      <c r="N79" s="96">
        <v>0</v>
      </c>
      <c r="O79" s="66">
        <f t="shared" si="6"/>
        <v>0</v>
      </c>
      <c r="P79" s="67"/>
      <c r="Q79" s="66">
        <v>0</v>
      </c>
      <c r="R79" s="66">
        <f t="shared" si="7"/>
        <v>0</v>
      </c>
      <c r="S79" s="66">
        <f t="shared" si="8"/>
        <v>0</v>
      </c>
      <c r="T79" s="66">
        <f t="shared" si="9"/>
        <v>0</v>
      </c>
      <c r="U79" s="66">
        <f t="shared" si="10"/>
        <v>0</v>
      </c>
      <c r="V79" s="66">
        <f t="shared" si="11"/>
        <v>0</v>
      </c>
    </row>
    <row r="80" spans="2:22 16379:16380" hidden="1" x14ac:dyDescent="0.25">
      <c r="B80" s="97" t="str">
        <f>+Ruta!B80</f>
        <v>NO</v>
      </c>
      <c r="C80" s="97">
        <f>+Ruta!C80</f>
        <v>77</v>
      </c>
      <c r="D80" s="97" t="str">
        <f>+Ruta!D80</f>
        <v>Cali</v>
      </c>
      <c r="E80" s="97" t="str">
        <f>+Ruta!E80</f>
        <v>TAT</v>
      </c>
      <c r="F80" s="97" t="str">
        <f>+Ruta!F80</f>
        <v>Ana Rosa Lopera</v>
      </c>
      <c r="G80" s="97" t="str">
        <f>+Ruta!G80</f>
        <v>Rancho y Llicores El Regalon</v>
      </c>
      <c r="H80" s="97">
        <f>+Ruta!H80</f>
        <v>5528043</v>
      </c>
      <c r="I80" s="97" t="str">
        <f>+Ruta!I80</f>
        <v xml:space="preserve">Marques 3años Botella + Can Agte </v>
      </c>
      <c r="J80" s="97" t="str">
        <f>+Ruta!J80</f>
        <v>Dg 51 #4oeste 47</v>
      </c>
      <c r="K80" s="97">
        <f>+Ruta!K80</f>
        <v>94507583</v>
      </c>
      <c r="L80" s="101">
        <v>0</v>
      </c>
      <c r="M80" s="78">
        <f>+Ruta!R80</f>
        <v>0</v>
      </c>
      <c r="N80" s="96">
        <v>0</v>
      </c>
      <c r="O80" s="66">
        <f t="shared" si="6"/>
        <v>0</v>
      </c>
      <c r="P80" s="67"/>
      <c r="Q80" s="66">
        <v>0</v>
      </c>
      <c r="R80" s="66">
        <f t="shared" si="7"/>
        <v>0</v>
      </c>
      <c r="S80" s="66">
        <f t="shared" si="8"/>
        <v>0</v>
      </c>
      <c r="T80" s="66">
        <f t="shared" si="9"/>
        <v>0</v>
      </c>
      <c r="U80" s="66">
        <f t="shared" si="10"/>
        <v>0</v>
      </c>
      <c r="V80" s="66">
        <f t="shared" si="11"/>
        <v>0</v>
      </c>
    </row>
    <row r="81" spans="2:22" hidden="1" x14ac:dyDescent="0.25">
      <c r="B81" s="97" t="str">
        <f>+Ruta!B81</f>
        <v>NO</v>
      </c>
      <c r="C81" s="97">
        <f>+Ruta!C81</f>
        <v>78</v>
      </c>
      <c r="D81" s="97" t="str">
        <f>+Ruta!D81</f>
        <v>Cali</v>
      </c>
      <c r="E81" s="97" t="str">
        <f>+Ruta!E81</f>
        <v>TAT</v>
      </c>
      <c r="F81" s="97" t="str">
        <f>+Ruta!F81</f>
        <v>Ana Rosa Lopera</v>
      </c>
      <c r="G81" s="97" t="str">
        <f>+Ruta!G81</f>
        <v>Rapitienda Rivera Express</v>
      </c>
      <c r="H81" s="97">
        <f>+Ruta!H81</f>
        <v>3153169323</v>
      </c>
      <c r="I81" s="97" t="str">
        <f>+Ruta!I81</f>
        <v xml:space="preserve">Marques 3años Botella + Can Agte </v>
      </c>
      <c r="J81" s="97" t="str">
        <f>+Ruta!J81</f>
        <v>Cra 54  cll1d esquina</v>
      </c>
      <c r="K81" s="97">
        <f>+Ruta!K81</f>
        <v>66983025</v>
      </c>
      <c r="L81" s="78">
        <v>0</v>
      </c>
      <c r="M81" s="78">
        <f>+Ruta!R81</f>
        <v>0</v>
      </c>
      <c r="N81" s="96">
        <v>0</v>
      </c>
      <c r="O81" s="66">
        <f t="shared" si="6"/>
        <v>0</v>
      </c>
      <c r="P81" s="67"/>
      <c r="Q81" s="66">
        <v>0</v>
      </c>
      <c r="R81" s="66">
        <f t="shared" si="7"/>
        <v>0</v>
      </c>
      <c r="S81" s="66">
        <f t="shared" si="8"/>
        <v>0</v>
      </c>
      <c r="T81" s="66">
        <f t="shared" si="9"/>
        <v>0</v>
      </c>
      <c r="U81" s="66">
        <f t="shared" si="10"/>
        <v>0</v>
      </c>
      <c r="V81" s="66">
        <f t="shared" si="11"/>
        <v>0</v>
      </c>
    </row>
    <row r="82" spans="2:22" hidden="1" x14ac:dyDescent="0.25">
      <c r="B82" s="97" t="str">
        <f>+Ruta!B82</f>
        <v>NO</v>
      </c>
      <c r="C82" s="97">
        <f>+Ruta!C82</f>
        <v>79</v>
      </c>
      <c r="D82" s="97" t="str">
        <f>+Ruta!D82</f>
        <v>Cali</v>
      </c>
      <c r="E82" s="97" t="str">
        <f>+Ruta!E82</f>
        <v>TAT</v>
      </c>
      <c r="F82" s="97" t="str">
        <f>+Ruta!F82</f>
        <v>Ana Rosa Lopera</v>
      </c>
      <c r="G82" s="97" t="str">
        <f>+Ruta!G82</f>
        <v>Mercatoño</v>
      </c>
      <c r="H82" s="97">
        <f>+Ruta!H82</f>
        <v>5523530</v>
      </c>
      <c r="I82" s="97" t="str">
        <f>+Ruta!I82</f>
        <v xml:space="preserve">Marques 3años Botella + Can Agte </v>
      </c>
      <c r="J82" s="97" t="str">
        <f>+Ruta!J82</f>
        <v>Dg 50 oeste 5 119</v>
      </c>
      <c r="K82" s="97">
        <f>+Ruta!K82</f>
        <v>1130591583</v>
      </c>
      <c r="L82" s="78">
        <v>0</v>
      </c>
      <c r="M82" s="78">
        <f>+Ruta!R82</f>
        <v>3</v>
      </c>
      <c r="N82" s="96">
        <v>9.9730727037000098E-5</v>
      </c>
      <c r="O82" s="66">
        <f t="shared" si="6"/>
        <v>9.9730727037000103E-2</v>
      </c>
      <c r="P82" s="67"/>
      <c r="Q82" s="66">
        <v>0</v>
      </c>
      <c r="R82" s="66">
        <f t="shared" si="7"/>
        <v>0.29919218111100027</v>
      </c>
      <c r="S82" s="66">
        <v>9</v>
      </c>
      <c r="T82" s="66">
        <f t="shared" si="9"/>
        <v>0.997307270370001</v>
      </c>
      <c r="U82" s="66">
        <v>30</v>
      </c>
      <c r="V82" s="66">
        <f t="shared" si="11"/>
        <v>9</v>
      </c>
    </row>
    <row r="83" spans="2:22" hidden="1" x14ac:dyDescent="0.25">
      <c r="B83" s="97" t="str">
        <f>+Ruta!B83</f>
        <v>NO</v>
      </c>
      <c r="C83" s="97">
        <f>+Ruta!C83</f>
        <v>80</v>
      </c>
      <c r="D83" s="97" t="str">
        <f>+Ruta!D83</f>
        <v>Cali</v>
      </c>
      <c r="E83" s="97" t="str">
        <f>+Ruta!E83</f>
        <v>TAT</v>
      </c>
      <c r="F83" s="97" t="str">
        <f>+Ruta!F83</f>
        <v>Ana Rosa Lopera</v>
      </c>
      <c r="G83" s="97" t="str">
        <f>+Ruta!G83</f>
        <v>Rapitienda El Sol</v>
      </c>
      <c r="H83" s="97">
        <f>+Ruta!H83</f>
        <v>5524171</v>
      </c>
      <c r="I83" s="97" t="str">
        <f>+Ruta!I83</f>
        <v xml:space="preserve">Marques 3años Botella + Can Agte </v>
      </c>
      <c r="J83" s="97" t="str">
        <f>+Ruta!J83</f>
        <v>Cra 39 2 37</v>
      </c>
      <c r="K83" s="97">
        <f>+Ruta!K83</f>
        <v>94517200</v>
      </c>
      <c r="L83" s="78">
        <v>0</v>
      </c>
      <c r="M83" s="78">
        <f>+Ruta!R83</f>
        <v>0</v>
      </c>
      <c r="N83" s="96">
        <v>0</v>
      </c>
      <c r="O83" s="66">
        <f t="shared" si="6"/>
        <v>0</v>
      </c>
      <c r="P83" s="67"/>
      <c r="Q83" s="66">
        <v>0</v>
      </c>
      <c r="R83" s="66">
        <f t="shared" si="7"/>
        <v>0</v>
      </c>
      <c r="S83" s="66">
        <f t="shared" si="8"/>
        <v>0</v>
      </c>
      <c r="T83" s="66">
        <f t="shared" si="9"/>
        <v>0</v>
      </c>
      <c r="U83" s="66">
        <f t="shared" si="10"/>
        <v>0</v>
      </c>
      <c r="V83" s="66">
        <f t="shared" si="11"/>
        <v>0</v>
      </c>
    </row>
    <row r="84" spans="2:22" hidden="1" x14ac:dyDescent="0.25">
      <c r="B84" s="97" t="str">
        <f>+Ruta!B84</f>
        <v>NO</v>
      </c>
      <c r="C84" s="97">
        <f>+Ruta!C84</f>
        <v>81</v>
      </c>
      <c r="D84" s="97" t="str">
        <f>+Ruta!D84</f>
        <v>Cali</v>
      </c>
      <c r="E84" s="97" t="str">
        <f>+Ruta!E84</f>
        <v>TAT</v>
      </c>
      <c r="F84" s="97" t="str">
        <f>+Ruta!F84</f>
        <v>Ana Rosa Lopera</v>
      </c>
      <c r="G84" s="97" t="str">
        <f>+Ruta!G84</f>
        <v>Rapiexpress</v>
      </c>
      <c r="H84" s="97">
        <f>+Ruta!H84</f>
        <v>5132654</v>
      </c>
      <c r="I84" s="97" t="str">
        <f>+Ruta!I84</f>
        <v xml:space="preserve">Marques 3años Botella + Can Agte </v>
      </c>
      <c r="J84" s="97" t="str">
        <f>+Ruta!J84</f>
        <v>Cra 55 6a09</v>
      </c>
      <c r="K84" s="97">
        <f>+Ruta!K84</f>
        <v>31220703</v>
      </c>
      <c r="L84" s="101">
        <v>0</v>
      </c>
      <c r="M84" s="78">
        <f>+Ruta!R84</f>
        <v>0</v>
      </c>
      <c r="N84" s="96">
        <v>0</v>
      </c>
      <c r="O84" s="66">
        <f t="shared" si="6"/>
        <v>0</v>
      </c>
      <c r="P84" s="67"/>
      <c r="Q84" s="66">
        <v>0</v>
      </c>
      <c r="R84" s="66">
        <f t="shared" si="7"/>
        <v>0</v>
      </c>
      <c r="S84" s="66">
        <f t="shared" si="8"/>
        <v>0</v>
      </c>
      <c r="T84" s="66">
        <f t="shared" si="9"/>
        <v>0</v>
      </c>
      <c r="U84" s="66">
        <f t="shared" si="10"/>
        <v>0</v>
      </c>
      <c r="V84" s="66">
        <f t="shared" si="11"/>
        <v>0</v>
      </c>
    </row>
    <row r="85" spans="2:22" hidden="1" x14ac:dyDescent="0.25">
      <c r="B85" s="97" t="str">
        <f>+Ruta!B85</f>
        <v>SI</v>
      </c>
      <c r="C85" s="97">
        <f>+Ruta!C85</f>
        <v>82</v>
      </c>
      <c r="D85" s="97" t="str">
        <f>+Ruta!D85</f>
        <v>Cali</v>
      </c>
      <c r="E85" s="97" t="str">
        <f>+Ruta!E85</f>
        <v>TAT</v>
      </c>
      <c r="F85" s="97" t="str">
        <f>+Ruta!F85</f>
        <v>Ana Rosa Lopera</v>
      </c>
      <c r="G85" s="97" t="str">
        <f>+Ruta!G85</f>
        <v>Autoservicio y Panadería Caribe</v>
      </c>
      <c r="H85" s="97">
        <f>+Ruta!H85</f>
        <v>5136160</v>
      </c>
      <c r="I85" s="97" t="str">
        <f>+Ruta!I85</f>
        <v xml:space="preserve">Marques 3años Botella + Can Agte </v>
      </c>
      <c r="J85" s="97" t="str">
        <f>+Ruta!J85</f>
        <v xml:space="preserve">Cra 56 1.ª 16 oeste </v>
      </c>
      <c r="K85" s="97">
        <f>+Ruta!K85</f>
        <v>6102380</v>
      </c>
      <c r="L85" s="78">
        <v>0</v>
      </c>
      <c r="M85" s="78">
        <f>+Ruta!R85</f>
        <v>0</v>
      </c>
      <c r="N85" s="96">
        <v>0</v>
      </c>
      <c r="O85" s="66">
        <f t="shared" si="6"/>
        <v>0</v>
      </c>
      <c r="P85" s="67">
        <v>3</v>
      </c>
      <c r="Q85" s="66">
        <v>3</v>
      </c>
      <c r="R85" s="66">
        <f t="shared" si="7"/>
        <v>0</v>
      </c>
      <c r="S85" s="66">
        <f t="shared" si="8"/>
        <v>9</v>
      </c>
      <c r="T85" s="66">
        <f t="shared" si="9"/>
        <v>0</v>
      </c>
      <c r="U85" s="66">
        <f t="shared" si="10"/>
        <v>30</v>
      </c>
      <c r="V85" s="66">
        <f t="shared" si="11"/>
        <v>9</v>
      </c>
    </row>
    <row r="86" spans="2:22" hidden="1" x14ac:dyDescent="0.25">
      <c r="B86" s="97" t="str">
        <f>+Ruta!B86</f>
        <v>NO</v>
      </c>
      <c r="C86" s="97">
        <f>+Ruta!C86</f>
        <v>83</v>
      </c>
      <c r="D86" s="97" t="str">
        <f>+Ruta!D86</f>
        <v>Cali</v>
      </c>
      <c r="E86" s="97" t="str">
        <f>+Ruta!E86</f>
        <v>TAT</v>
      </c>
      <c r="F86" s="97" t="str">
        <f>+Ruta!F86</f>
        <v>Ana Rosa Lopera</v>
      </c>
      <c r="G86" s="97" t="str">
        <f>+Ruta!G86</f>
        <v>Autoservicio El Único</v>
      </c>
      <c r="H86" s="97">
        <f>+Ruta!H86</f>
        <v>3157691554</v>
      </c>
      <c r="I86" s="97" t="str">
        <f>+Ruta!I86</f>
        <v xml:space="preserve">Marques 3años Botella + Can Agte </v>
      </c>
      <c r="J86" s="97" t="str">
        <f>+Ruta!J86</f>
        <v>Mz D casa 24 sector  la sirena</v>
      </c>
      <c r="K86" s="97">
        <f>+Ruta!K86</f>
        <v>1117016699</v>
      </c>
      <c r="L86" s="101">
        <v>0</v>
      </c>
      <c r="M86" s="78">
        <f>+Ruta!R86</f>
        <v>0</v>
      </c>
      <c r="N86" s="96">
        <v>0</v>
      </c>
      <c r="O86" s="66">
        <f t="shared" si="6"/>
        <v>0</v>
      </c>
      <c r="P86" s="67"/>
      <c r="Q86" s="66">
        <v>0</v>
      </c>
      <c r="R86" s="66">
        <f t="shared" si="7"/>
        <v>0</v>
      </c>
      <c r="S86" s="66">
        <f t="shared" si="8"/>
        <v>0</v>
      </c>
      <c r="T86" s="66">
        <f t="shared" si="9"/>
        <v>0</v>
      </c>
      <c r="U86" s="66">
        <f t="shared" si="10"/>
        <v>0</v>
      </c>
      <c r="V86" s="66">
        <f t="shared" si="11"/>
        <v>0</v>
      </c>
    </row>
    <row r="87" spans="2:22" hidden="1" x14ac:dyDescent="0.25">
      <c r="B87" s="97" t="str">
        <f>+Ruta!B87</f>
        <v>NO</v>
      </c>
      <c r="C87" s="97">
        <f>+Ruta!C87</f>
        <v>84</v>
      </c>
      <c r="D87" s="97" t="str">
        <f>+Ruta!D87</f>
        <v>Cali</v>
      </c>
      <c r="E87" s="97" t="str">
        <f>+Ruta!E87</f>
        <v>TAT</v>
      </c>
      <c r="F87" s="97" t="str">
        <f>+Ruta!F87</f>
        <v>Ana Rosa Lopera</v>
      </c>
      <c r="G87" s="97" t="str">
        <f>+Ruta!G87</f>
        <v>Merca Bien</v>
      </c>
      <c r="H87" s="97">
        <f>+Ruta!H87</f>
        <v>3122226944</v>
      </c>
      <c r="I87" s="97" t="str">
        <f>+Ruta!I87</f>
        <v xml:space="preserve">Marques 3años Botella + Can Agte </v>
      </c>
      <c r="J87" s="97" t="str">
        <f>+Ruta!J87</f>
        <v>Mz D casa 24 sector  la sirena</v>
      </c>
      <c r="K87" s="97">
        <f>+Ruta!K87</f>
        <v>1117016699</v>
      </c>
      <c r="L87" s="101">
        <v>0</v>
      </c>
      <c r="M87" s="78">
        <f>+Ruta!R87</f>
        <v>0</v>
      </c>
      <c r="N87" s="96">
        <v>0</v>
      </c>
      <c r="O87" s="66">
        <f t="shared" si="6"/>
        <v>0</v>
      </c>
      <c r="P87" s="67"/>
      <c r="Q87" s="66">
        <v>0</v>
      </c>
      <c r="R87" s="66">
        <f t="shared" si="7"/>
        <v>0</v>
      </c>
      <c r="S87" s="66">
        <f t="shared" si="8"/>
        <v>0</v>
      </c>
      <c r="T87" s="66">
        <f t="shared" si="9"/>
        <v>0</v>
      </c>
      <c r="U87" s="66">
        <f t="shared" si="10"/>
        <v>0</v>
      </c>
      <c r="V87" s="66">
        <f t="shared" si="11"/>
        <v>0</v>
      </c>
    </row>
    <row r="88" spans="2:22" hidden="1" x14ac:dyDescent="0.25">
      <c r="B88" s="97" t="str">
        <f>+Ruta!B88</f>
        <v>SI</v>
      </c>
      <c r="C88" s="97">
        <f>+Ruta!C88</f>
        <v>85</v>
      </c>
      <c r="D88" s="97" t="str">
        <f>+Ruta!D88</f>
        <v>Cali</v>
      </c>
      <c r="E88" s="97" t="str">
        <f>+Ruta!E88</f>
        <v>TAT</v>
      </c>
      <c r="F88" s="97" t="str">
        <f>+Ruta!F88</f>
        <v>Ana Rosa Lopera</v>
      </c>
      <c r="G88" s="97" t="str">
        <f>+Ruta!G88</f>
        <v>Supermercado La Ganguita</v>
      </c>
      <c r="H88" s="97">
        <f>+Ruta!H88</f>
        <v>4468365</v>
      </c>
      <c r="I88" s="97" t="str">
        <f>+Ruta!I88</f>
        <v xml:space="preserve">Marques 3años Botella + Can Agte </v>
      </c>
      <c r="J88" s="97" t="str">
        <f>+Ruta!J88</f>
        <v>Cra 1c4  64A 14  bloque 15</v>
      </c>
      <c r="K88" s="97">
        <f>+Ruta!K88</f>
        <v>12985122</v>
      </c>
      <c r="L88" s="78">
        <v>0</v>
      </c>
      <c r="M88" s="78">
        <f>+Ruta!R88</f>
        <v>0</v>
      </c>
      <c r="N88" s="96">
        <v>0</v>
      </c>
      <c r="O88" s="66">
        <f t="shared" si="6"/>
        <v>0</v>
      </c>
      <c r="P88" s="67">
        <v>3</v>
      </c>
      <c r="Q88" s="66">
        <v>3</v>
      </c>
      <c r="R88" s="66">
        <f t="shared" si="7"/>
        <v>0</v>
      </c>
      <c r="S88" s="66">
        <f t="shared" si="8"/>
        <v>9</v>
      </c>
      <c r="T88" s="66">
        <f t="shared" si="9"/>
        <v>0</v>
      </c>
      <c r="U88" s="66">
        <f t="shared" si="10"/>
        <v>30</v>
      </c>
      <c r="V88" s="66">
        <f t="shared" si="11"/>
        <v>9</v>
      </c>
    </row>
    <row r="89" spans="2:22" ht="15.75" hidden="1" x14ac:dyDescent="0.25">
      <c r="B89" s="97" t="str">
        <f>+Ruta!B89</f>
        <v>NO</v>
      </c>
      <c r="C89" s="97">
        <f>+Ruta!C89</f>
        <v>86</v>
      </c>
      <c r="D89" s="97" t="str">
        <f>+Ruta!D89</f>
        <v>Cali</v>
      </c>
      <c r="E89" s="97" t="str">
        <f>+Ruta!E89</f>
        <v>TAT</v>
      </c>
      <c r="F89" s="97" t="str">
        <f>+Ruta!F89</f>
        <v>Ana Rosa Lopera</v>
      </c>
      <c r="G89" s="97" t="str">
        <f>+Ruta!G89</f>
        <v>Supermercado Mega Líder</v>
      </c>
      <c r="H89" s="97">
        <f>+Ruta!H89</f>
        <v>3726226</v>
      </c>
      <c r="I89" s="97" t="str">
        <f>+Ruta!I89</f>
        <v xml:space="preserve">Marques 3años Botella + Can Agte </v>
      </c>
      <c r="J89" s="97" t="str">
        <f>+Ruta!J89</f>
        <v>Cll 66 1bis 70</v>
      </c>
      <c r="K89" s="97">
        <f>+Ruta!K89</f>
        <v>6548730</v>
      </c>
      <c r="L89" s="102">
        <v>0</v>
      </c>
      <c r="M89" s="78">
        <f>+Ruta!R89</f>
        <v>0</v>
      </c>
      <c r="N89" s="96">
        <v>0</v>
      </c>
      <c r="O89" s="66">
        <f t="shared" si="6"/>
        <v>0</v>
      </c>
      <c r="P89" s="67"/>
      <c r="Q89" s="66">
        <v>0</v>
      </c>
      <c r="R89" s="66">
        <f t="shared" si="7"/>
        <v>0</v>
      </c>
      <c r="S89" s="66">
        <f t="shared" si="8"/>
        <v>0</v>
      </c>
      <c r="T89" s="66">
        <f t="shared" si="9"/>
        <v>0</v>
      </c>
      <c r="U89" s="66">
        <f t="shared" si="10"/>
        <v>0</v>
      </c>
      <c r="V89" s="66">
        <f t="shared" si="11"/>
        <v>0</v>
      </c>
    </row>
    <row r="90" spans="2:22" hidden="1" x14ac:dyDescent="0.25">
      <c r="B90" s="97" t="str">
        <f>+Ruta!B90</f>
        <v>NO</v>
      </c>
      <c r="C90" s="97">
        <f>+Ruta!C90</f>
        <v>87</v>
      </c>
      <c r="D90" s="97" t="str">
        <f>+Ruta!D90</f>
        <v>Cali</v>
      </c>
      <c r="E90" s="97" t="str">
        <f>+Ruta!E90</f>
        <v>TAT</v>
      </c>
      <c r="F90" s="97" t="str">
        <f>+Ruta!F90</f>
        <v>Ana Rosa Lopera</v>
      </c>
      <c r="G90" s="97" t="str">
        <f>+Ruta!G90</f>
        <v>Megalider Veracruz</v>
      </c>
      <c r="H90" s="97">
        <f>+Ruta!H90</f>
        <v>3217340706</v>
      </c>
      <c r="I90" s="97" t="str">
        <f>+Ruta!I90</f>
        <v xml:space="preserve">Marques 3años Botella + Can Agte </v>
      </c>
      <c r="J90" s="97" t="str">
        <f>+Ruta!J90</f>
        <v>Cra 1b1 58.ª 09</v>
      </c>
      <c r="K90" s="97">
        <f>+Ruta!K90</f>
        <v>1130656816</v>
      </c>
      <c r="L90" s="101">
        <v>4</v>
      </c>
      <c r="M90" s="78">
        <f>+Ruta!R90</f>
        <v>0</v>
      </c>
      <c r="N90" s="96">
        <v>0</v>
      </c>
      <c r="O90" s="66">
        <f t="shared" si="6"/>
        <v>0</v>
      </c>
      <c r="P90" s="67"/>
      <c r="Q90" s="66">
        <v>0</v>
      </c>
      <c r="R90" s="66">
        <f t="shared" si="7"/>
        <v>0</v>
      </c>
      <c r="S90" s="66">
        <f t="shared" si="8"/>
        <v>0</v>
      </c>
      <c r="T90" s="66">
        <f t="shared" si="9"/>
        <v>0</v>
      </c>
      <c r="U90" s="66">
        <f t="shared" si="10"/>
        <v>0</v>
      </c>
      <c r="V90" s="66">
        <f t="shared" si="11"/>
        <v>0</v>
      </c>
    </row>
    <row r="91" spans="2:22" hidden="1" x14ac:dyDescent="0.25">
      <c r="B91" s="97" t="str">
        <f>+Ruta!B91</f>
        <v>NO</v>
      </c>
      <c r="C91" s="97">
        <f>+Ruta!C91</f>
        <v>88</v>
      </c>
      <c r="D91" s="97" t="str">
        <f>+Ruta!D91</f>
        <v>Cali</v>
      </c>
      <c r="E91" s="97" t="str">
        <f>+Ruta!E91</f>
        <v>TAT</v>
      </c>
      <c r="F91" s="97" t="str">
        <f>+Ruta!F91</f>
        <v>Ana Rosa Lopera</v>
      </c>
      <c r="G91" s="97" t="str">
        <f>+Ruta!G91</f>
        <v>Autoservicio El Vencedor</v>
      </c>
      <c r="H91" s="97">
        <f>+Ruta!H91</f>
        <v>3780230</v>
      </c>
      <c r="I91" s="97" t="str">
        <f>+Ruta!I91</f>
        <v xml:space="preserve">Marques 3años Botella + Can Agte </v>
      </c>
      <c r="J91" s="97" t="str">
        <f>+Ruta!J91</f>
        <v>CR 25b 25 05</v>
      </c>
      <c r="K91" s="97">
        <f>+Ruta!K91</f>
        <v>31987561</v>
      </c>
      <c r="L91" s="78">
        <v>0</v>
      </c>
      <c r="M91" s="78">
        <f>+Ruta!R91</f>
        <v>0</v>
      </c>
      <c r="N91" s="96">
        <v>0</v>
      </c>
      <c r="O91" s="66">
        <f t="shared" si="6"/>
        <v>0</v>
      </c>
      <c r="P91" s="67"/>
      <c r="Q91" s="66">
        <v>0</v>
      </c>
      <c r="R91" s="66">
        <f t="shared" si="7"/>
        <v>0</v>
      </c>
      <c r="S91" s="66">
        <f t="shared" si="8"/>
        <v>0</v>
      </c>
      <c r="T91" s="66">
        <f t="shared" si="9"/>
        <v>0</v>
      </c>
      <c r="U91" s="66">
        <f t="shared" si="10"/>
        <v>0</v>
      </c>
      <c r="V91" s="66">
        <f t="shared" si="11"/>
        <v>0</v>
      </c>
    </row>
    <row r="92" spans="2:22" hidden="1" x14ac:dyDescent="0.25">
      <c r="B92" s="97" t="str">
        <f>+Ruta!B92</f>
        <v>SI</v>
      </c>
      <c r="C92" s="97">
        <f>+Ruta!C92</f>
        <v>89</v>
      </c>
      <c r="D92" s="97" t="str">
        <f>+Ruta!D92</f>
        <v>Cali</v>
      </c>
      <c r="E92" s="97" t="str">
        <f>+Ruta!E92</f>
        <v>TAT</v>
      </c>
      <c r="F92" s="97" t="str">
        <f>+Ruta!F92</f>
        <v>Ana Rosa Lopera</v>
      </c>
      <c r="G92" s="97" t="str">
        <f>+Ruta!G92</f>
        <v>Rapitienda La Esperanza</v>
      </c>
      <c r="H92" s="97">
        <f>+Ruta!H92</f>
        <v>3137849701</v>
      </c>
      <c r="I92" s="97" t="str">
        <f>+Ruta!I92</f>
        <v xml:space="preserve">Marques 3años Botella + Can Agte </v>
      </c>
      <c r="J92" s="97" t="str">
        <f>+Ruta!J92</f>
        <v>Cll 27 29b 18</v>
      </c>
      <c r="K92" s="97">
        <f>+Ruta!K92</f>
        <v>38671009</v>
      </c>
      <c r="L92" s="78">
        <v>0</v>
      </c>
      <c r="M92" s="78">
        <f>+Ruta!R92</f>
        <v>0</v>
      </c>
      <c r="N92" s="96">
        <v>0</v>
      </c>
      <c r="O92" s="66">
        <f t="shared" si="6"/>
        <v>0</v>
      </c>
      <c r="P92" s="67">
        <v>3</v>
      </c>
      <c r="Q92" s="66">
        <v>3</v>
      </c>
      <c r="R92" s="66">
        <f t="shared" si="7"/>
        <v>0</v>
      </c>
      <c r="S92" s="66">
        <f t="shared" si="8"/>
        <v>9</v>
      </c>
      <c r="T92" s="66">
        <f t="shared" si="9"/>
        <v>0</v>
      </c>
      <c r="U92" s="66">
        <f t="shared" si="10"/>
        <v>30</v>
      </c>
      <c r="V92" s="66">
        <f t="shared" si="11"/>
        <v>9</v>
      </c>
    </row>
    <row r="93" spans="2:22" hidden="1" x14ac:dyDescent="0.25">
      <c r="B93" s="97" t="str">
        <f>+Ruta!B93</f>
        <v>NO</v>
      </c>
      <c r="C93" s="97">
        <f>+Ruta!C93</f>
        <v>90</v>
      </c>
      <c r="D93" s="97" t="str">
        <f>+Ruta!D93</f>
        <v>Cali</v>
      </c>
      <c r="E93" s="97" t="str">
        <f>+Ruta!E93</f>
        <v>TAT</v>
      </c>
      <c r="F93" s="97" t="str">
        <f>+Ruta!F93</f>
        <v>Ana Rosa Lopera</v>
      </c>
      <c r="G93" s="97" t="str">
        <f>+Ruta!G93</f>
        <v>Granero el Progreso</v>
      </c>
      <c r="H93" s="97">
        <f>+Ruta!H93</f>
        <v>3348473</v>
      </c>
      <c r="I93" s="97" t="str">
        <f>+Ruta!I93</f>
        <v xml:space="preserve">Marques 3años Botella + Can Agte </v>
      </c>
      <c r="J93" s="97" t="str">
        <f>+Ruta!J93</f>
        <v>CR 31.ª 34 02</v>
      </c>
      <c r="K93" s="97">
        <f>+Ruta!K93</f>
        <v>15903476</v>
      </c>
      <c r="L93" s="101">
        <v>0</v>
      </c>
      <c r="M93" s="78">
        <f>+Ruta!R93</f>
        <v>0</v>
      </c>
      <c r="N93" s="96">
        <v>0</v>
      </c>
      <c r="O93" s="66">
        <f t="shared" si="6"/>
        <v>0</v>
      </c>
      <c r="P93" s="67"/>
      <c r="Q93" s="66">
        <v>0</v>
      </c>
      <c r="R93" s="66">
        <f t="shared" si="7"/>
        <v>0</v>
      </c>
      <c r="S93" s="66">
        <f t="shared" si="8"/>
        <v>0</v>
      </c>
      <c r="T93" s="66">
        <f t="shared" si="9"/>
        <v>0</v>
      </c>
      <c r="U93" s="66">
        <f t="shared" si="10"/>
        <v>0</v>
      </c>
      <c r="V93" s="66">
        <f t="shared" si="11"/>
        <v>0</v>
      </c>
    </row>
    <row r="94" spans="2:22" hidden="1" x14ac:dyDescent="0.25">
      <c r="B94" s="97" t="str">
        <f>+Ruta!B94</f>
        <v>NO</v>
      </c>
      <c r="C94" s="97">
        <f>+Ruta!C94</f>
        <v>91</v>
      </c>
      <c r="D94" s="97" t="str">
        <f>+Ruta!D94</f>
        <v>Cali</v>
      </c>
      <c r="E94" s="97" t="str">
        <f>+Ruta!E94</f>
        <v>TAT</v>
      </c>
      <c r="F94" s="97" t="str">
        <f>+Ruta!F94</f>
        <v>Ana Rosa Lopera</v>
      </c>
      <c r="G94" s="97" t="str">
        <f>+Ruta!G94</f>
        <v>Estanco Medallo</v>
      </c>
      <c r="H94" s="97">
        <f>+Ruta!H94</f>
        <v>3937543</v>
      </c>
      <c r="I94" s="97" t="str">
        <f>+Ruta!I94</f>
        <v xml:space="preserve">Marques 3años Botella + Can Agte </v>
      </c>
      <c r="J94" s="97" t="str">
        <f>+Ruta!J94</f>
        <v>Cll 112 27g 24</v>
      </c>
      <c r="K94" s="97">
        <f>+Ruta!K94</f>
        <v>16759330</v>
      </c>
      <c r="L94" s="101">
        <v>0</v>
      </c>
      <c r="M94" s="78">
        <f>+Ruta!R94</f>
        <v>0</v>
      </c>
      <c r="N94" s="96">
        <v>0</v>
      </c>
      <c r="O94" s="66">
        <f t="shared" si="6"/>
        <v>0</v>
      </c>
      <c r="P94" s="67"/>
      <c r="Q94" s="66">
        <v>0</v>
      </c>
      <c r="R94" s="66">
        <f t="shared" si="7"/>
        <v>0</v>
      </c>
      <c r="S94" s="66">
        <f t="shared" si="8"/>
        <v>0</v>
      </c>
      <c r="T94" s="66">
        <f t="shared" si="9"/>
        <v>0</v>
      </c>
      <c r="U94" s="66">
        <f t="shared" si="10"/>
        <v>0</v>
      </c>
      <c r="V94" s="66">
        <f t="shared" si="11"/>
        <v>0</v>
      </c>
    </row>
    <row r="95" spans="2:22" hidden="1" x14ac:dyDescent="0.25">
      <c r="B95" s="97" t="str">
        <f>+Ruta!B95</f>
        <v>NO</v>
      </c>
      <c r="C95" s="97">
        <f>+Ruta!C95</f>
        <v>92</v>
      </c>
      <c r="D95" s="97" t="str">
        <f>+Ruta!D95</f>
        <v>Cali</v>
      </c>
      <c r="E95" s="97" t="str">
        <f>+Ruta!E95</f>
        <v>TAT</v>
      </c>
      <c r="F95" s="97" t="str">
        <f>+Ruta!F95</f>
        <v>Ana Rosa Lopera</v>
      </c>
      <c r="G95" s="97" t="str">
        <f>+Ruta!G95</f>
        <v>Autoservicio Monterrey</v>
      </c>
      <c r="H95" s="97">
        <f>+Ruta!H95</f>
        <v>4205905</v>
      </c>
      <c r="I95" s="97" t="str">
        <f>+Ruta!I95</f>
        <v xml:space="preserve">Marques 3años Botella + Can Agte </v>
      </c>
      <c r="J95" s="97" t="str">
        <f>+Ruta!J95</f>
        <v>CR 43.ª 56b07</v>
      </c>
      <c r="K95" s="97">
        <f>+Ruta!K95</f>
        <v>94192456</v>
      </c>
      <c r="L95" s="101">
        <v>0</v>
      </c>
      <c r="M95" s="78">
        <f>+Ruta!R95</f>
        <v>0</v>
      </c>
      <c r="N95" s="96">
        <v>0</v>
      </c>
      <c r="O95" s="66">
        <f t="shared" si="6"/>
        <v>0</v>
      </c>
      <c r="P95" s="67"/>
      <c r="Q95" s="66">
        <v>0</v>
      </c>
      <c r="R95" s="66">
        <f t="shared" si="7"/>
        <v>0</v>
      </c>
      <c r="S95" s="66">
        <f t="shared" si="8"/>
        <v>0</v>
      </c>
      <c r="T95" s="66">
        <f t="shared" si="9"/>
        <v>0</v>
      </c>
      <c r="U95" s="66">
        <f t="shared" si="10"/>
        <v>0</v>
      </c>
      <c r="V95" s="66">
        <f t="shared" si="11"/>
        <v>0</v>
      </c>
    </row>
    <row r="96" spans="2:22" hidden="1" x14ac:dyDescent="0.25">
      <c r="B96" s="97" t="str">
        <f>+Ruta!B96</f>
        <v>SI</v>
      </c>
      <c r="C96" s="97">
        <f>+Ruta!C96</f>
        <v>93</v>
      </c>
      <c r="D96" s="97" t="str">
        <f>+Ruta!D96</f>
        <v>Cali</v>
      </c>
      <c r="E96" s="97" t="str">
        <f>+Ruta!E96</f>
        <v>TAT</v>
      </c>
      <c r="F96" s="97" t="str">
        <f>+Ruta!F96</f>
        <v>Ana Rosa Lopera</v>
      </c>
      <c r="G96" s="97" t="str">
        <f>+Ruta!G96</f>
        <v>El Rebajon</v>
      </c>
      <c r="H96" s="97">
        <f>+Ruta!H96</f>
        <v>5579626</v>
      </c>
      <c r="I96" s="97" t="str">
        <f>+Ruta!I96</f>
        <v xml:space="preserve">Marques 3años Botella + Can Agte </v>
      </c>
      <c r="J96" s="97" t="str">
        <f>+Ruta!J96</f>
        <v>Cll 9e 22a12</v>
      </c>
      <c r="K96" s="97">
        <f>+Ruta!K96</f>
        <v>9850773</v>
      </c>
      <c r="L96" s="78">
        <v>0</v>
      </c>
      <c r="M96" s="78">
        <f>+Ruta!R96</f>
        <v>0</v>
      </c>
      <c r="N96" s="96">
        <v>0</v>
      </c>
      <c r="O96" s="66">
        <f t="shared" si="6"/>
        <v>0</v>
      </c>
      <c r="P96" s="67">
        <v>3</v>
      </c>
      <c r="Q96" s="66">
        <v>3</v>
      </c>
      <c r="R96" s="66">
        <f t="shared" si="7"/>
        <v>0</v>
      </c>
      <c r="S96" s="66">
        <f t="shared" si="8"/>
        <v>9</v>
      </c>
      <c r="T96" s="66">
        <f t="shared" si="9"/>
        <v>0</v>
      </c>
      <c r="U96" s="66">
        <f t="shared" si="10"/>
        <v>30</v>
      </c>
      <c r="V96" s="66">
        <f t="shared" si="11"/>
        <v>9</v>
      </c>
    </row>
    <row r="97" spans="2:22" hidden="1" x14ac:dyDescent="0.25">
      <c r="B97" s="97" t="str">
        <f>+Ruta!B97</f>
        <v>NO</v>
      </c>
      <c r="C97" s="97">
        <f>+Ruta!C97</f>
        <v>94</v>
      </c>
      <c r="D97" s="97" t="str">
        <f>+Ruta!D97</f>
        <v>Cali</v>
      </c>
      <c r="E97" s="97" t="str">
        <f>+Ruta!E97</f>
        <v>TAT</v>
      </c>
      <c r="F97" s="97" t="str">
        <f>+Ruta!F97</f>
        <v>Ana Rosa Lopera</v>
      </c>
      <c r="G97" s="97" t="str">
        <f>+Ruta!G97</f>
        <v>Minimarket La Fortuna</v>
      </c>
      <c r="H97" s="97">
        <f>+Ruta!H97</f>
        <v>3207002704</v>
      </c>
      <c r="I97" s="97" t="str">
        <f>+Ruta!I97</f>
        <v xml:space="preserve">Marques 3años Botella + Can Agte </v>
      </c>
      <c r="J97" s="97" t="str">
        <f>+Ruta!J97</f>
        <v>CL 10 # 18-61</v>
      </c>
      <c r="K97" s="97">
        <f>+Ruta!K97</f>
        <v>16712936</v>
      </c>
      <c r="L97" s="101">
        <v>0</v>
      </c>
      <c r="M97" s="78">
        <f>+Ruta!R97</f>
        <v>0</v>
      </c>
      <c r="N97" s="96">
        <v>0</v>
      </c>
      <c r="O97" s="66">
        <f t="shared" si="6"/>
        <v>0</v>
      </c>
      <c r="P97" s="67"/>
      <c r="Q97" s="66">
        <v>0</v>
      </c>
      <c r="R97" s="66">
        <f t="shared" si="7"/>
        <v>0</v>
      </c>
      <c r="S97" s="66">
        <f t="shared" si="8"/>
        <v>0</v>
      </c>
      <c r="T97" s="66">
        <f t="shared" si="9"/>
        <v>0</v>
      </c>
      <c r="U97" s="66">
        <f t="shared" si="10"/>
        <v>0</v>
      </c>
      <c r="V97" s="66">
        <f t="shared" si="11"/>
        <v>0</v>
      </c>
    </row>
    <row r="98" spans="2:22" hidden="1" x14ac:dyDescent="0.25">
      <c r="B98" s="97" t="str">
        <f>+Ruta!B98</f>
        <v>SI</v>
      </c>
      <c r="C98" s="97">
        <f>+Ruta!C98</f>
        <v>95</v>
      </c>
      <c r="D98" s="97" t="str">
        <f>+Ruta!D98</f>
        <v>Cali</v>
      </c>
      <c r="E98" s="97" t="str">
        <f>+Ruta!E98</f>
        <v>TAT</v>
      </c>
      <c r="F98" s="97" t="str">
        <f>+Ruta!F98</f>
        <v>Ana Rosa Lopera</v>
      </c>
      <c r="G98" s="97" t="str">
        <f>+Ruta!G98</f>
        <v>Minimarket Matecaña</v>
      </c>
      <c r="H98" s="97">
        <f>+Ruta!H98</f>
        <v>5582197</v>
      </c>
      <c r="I98" s="97" t="str">
        <f>+Ruta!I98</f>
        <v xml:space="preserve">Marques 3años Botella + Can Agte </v>
      </c>
      <c r="J98" s="97" t="str">
        <f>+Ruta!J98</f>
        <v>CR 23 12.ª 03</v>
      </c>
      <c r="K98" s="97">
        <f>+Ruta!K98</f>
        <v>98391364</v>
      </c>
      <c r="L98" s="78">
        <v>0</v>
      </c>
      <c r="M98" s="78">
        <f>+Ruta!R98</f>
        <v>0</v>
      </c>
      <c r="N98" s="96">
        <v>0</v>
      </c>
      <c r="O98" s="66">
        <f t="shared" si="6"/>
        <v>0</v>
      </c>
      <c r="P98" s="67"/>
      <c r="Q98" s="66">
        <v>0</v>
      </c>
      <c r="R98" s="66">
        <f t="shared" si="7"/>
        <v>0</v>
      </c>
      <c r="S98" s="66">
        <f t="shared" si="8"/>
        <v>0</v>
      </c>
      <c r="T98" s="66">
        <f t="shared" si="9"/>
        <v>0</v>
      </c>
      <c r="U98" s="66">
        <f t="shared" si="10"/>
        <v>0</v>
      </c>
      <c r="V98" s="66">
        <f t="shared" si="11"/>
        <v>0</v>
      </c>
    </row>
    <row r="99" spans="2:22" hidden="1" x14ac:dyDescent="0.25">
      <c r="B99" s="97" t="str">
        <f>+Ruta!B99</f>
        <v>NO</v>
      </c>
      <c r="C99" s="97">
        <f>+Ruta!C99</f>
        <v>96</v>
      </c>
      <c r="D99" s="97" t="str">
        <f>+Ruta!D99</f>
        <v xml:space="preserve">Tulua </v>
      </c>
      <c r="E99" s="97" t="str">
        <f>+Ruta!E99</f>
        <v>Supermercado</v>
      </c>
      <c r="F99" s="97" t="str">
        <f>+Ruta!F99</f>
        <v>Lina Colonia</v>
      </c>
      <c r="G99" s="97" t="str">
        <f>+Ruta!G99</f>
        <v xml:space="preserve">Tulua Centro Surtifamiliar </v>
      </c>
      <c r="H99" s="97">
        <f>+Ruta!H99</f>
        <v>3108461826</v>
      </c>
      <c r="I99" s="97" t="str">
        <f>+Ruta!I99</f>
        <v>Marques 3años Botella + Can Agte  - Marques 3años Botella  + Can Marques 3años -Marques Bot 3años P2 x 3 - Marques Can P2 X3 -</v>
      </c>
      <c r="J99" s="97" t="str">
        <f>+Ruta!J99</f>
        <v>CRA 21N° 25 – 76 </v>
      </c>
      <c r="K99" s="97">
        <f>+Ruta!K99</f>
        <v>0</v>
      </c>
      <c r="L99" s="99"/>
      <c r="M99" s="78">
        <f>+Ruta!R99</f>
        <v>0</v>
      </c>
      <c r="N99" s="96">
        <v>0</v>
      </c>
      <c r="O99" s="66">
        <f t="shared" si="6"/>
        <v>0</v>
      </c>
      <c r="P99" s="67"/>
      <c r="Q99" s="66">
        <v>0</v>
      </c>
      <c r="R99" s="66">
        <f t="shared" si="7"/>
        <v>0</v>
      </c>
      <c r="S99" s="66">
        <f t="shared" si="8"/>
        <v>0</v>
      </c>
      <c r="T99" s="66">
        <f t="shared" si="9"/>
        <v>0</v>
      </c>
      <c r="U99" s="66">
        <f t="shared" si="10"/>
        <v>0</v>
      </c>
      <c r="V99" s="66">
        <f t="shared" si="11"/>
        <v>0</v>
      </c>
    </row>
    <row r="100" spans="2:22" hidden="1" x14ac:dyDescent="0.25">
      <c r="B100" s="97" t="str">
        <f>+Ruta!B100</f>
        <v>NO</v>
      </c>
      <c r="C100" s="97">
        <f>+Ruta!C100</f>
        <v>97</v>
      </c>
      <c r="D100" s="97" t="str">
        <f>+Ruta!D100</f>
        <v xml:space="preserve">Tulua </v>
      </c>
      <c r="E100" s="97" t="str">
        <f>+Ruta!E100</f>
        <v>Supermercado</v>
      </c>
      <c r="F100" s="97" t="str">
        <f>+Ruta!F100</f>
        <v>Lina Colonia</v>
      </c>
      <c r="G100" s="97" t="str">
        <f>+Ruta!G100</f>
        <v xml:space="preserve">Tulua Porveir Surtifamiliar </v>
      </c>
      <c r="H100" s="97">
        <f>+Ruta!H100</f>
        <v>3207178634</v>
      </c>
      <c r="I100" s="97" t="str">
        <f>+Ruta!I100</f>
        <v>Marques 3años Botella + Can Agte  - Marques 3años Botella  + Can Marques 3años -Marques Bot 3años P2 x 3 - Marques Can P2 X3 -</v>
      </c>
      <c r="J100" s="97" t="str">
        <f>+Ruta!J100</f>
        <v>DIAG. 23N° 9 – 28 </v>
      </c>
      <c r="K100" s="97">
        <f>+Ruta!K100</f>
        <v>0</v>
      </c>
      <c r="L100" s="99"/>
      <c r="M100" s="78">
        <f>+Ruta!R100</f>
        <v>0</v>
      </c>
      <c r="N100" s="96">
        <v>0</v>
      </c>
      <c r="O100" s="66">
        <f t="shared" si="6"/>
        <v>0</v>
      </c>
      <c r="P100" s="67"/>
      <c r="Q100" s="66">
        <v>0</v>
      </c>
      <c r="R100" s="66">
        <f t="shared" si="7"/>
        <v>0</v>
      </c>
      <c r="S100" s="66">
        <f t="shared" si="8"/>
        <v>0</v>
      </c>
      <c r="T100" s="66">
        <f t="shared" si="9"/>
        <v>0</v>
      </c>
      <c r="U100" s="66">
        <f t="shared" si="10"/>
        <v>0</v>
      </c>
      <c r="V100" s="66">
        <f t="shared" si="11"/>
        <v>0</v>
      </c>
    </row>
    <row r="101" spans="2:22" x14ac:dyDescent="0.25">
      <c r="B101" s="97" t="str">
        <f>+Ruta!B101</f>
        <v>NO</v>
      </c>
      <c r="C101" s="97">
        <f>+Ruta!C101</f>
        <v>98</v>
      </c>
      <c r="D101" s="97" t="str">
        <f>+Ruta!D101</f>
        <v xml:space="preserve">Buga </v>
      </c>
      <c r="E101" s="97" t="str">
        <f>+Ruta!E101</f>
        <v>Supermercado</v>
      </c>
      <c r="F101" s="97" t="str">
        <f>+Ruta!F101</f>
        <v>Lina Colonia</v>
      </c>
      <c r="G101" s="97" t="str">
        <f>+Ruta!G101</f>
        <v xml:space="preserve">Buga Centro Surtifamiliar </v>
      </c>
      <c r="H101" s="97">
        <f>+Ruta!H101</f>
        <v>3108461821</v>
      </c>
      <c r="I101" s="97" t="str">
        <f>+Ruta!I101</f>
        <v>Marques 3años Botella + Can Agte  - Marques 3años Botella  + Can Marques 3años -Marques Bot 3años P2 x 3 - Marques Can P2 X3 -</v>
      </c>
      <c r="J101" s="97" t="str">
        <f>+Ruta!J101</f>
        <v>CRA 12N° 8 – 34 </v>
      </c>
      <c r="K101" s="97">
        <f>+Ruta!K101</f>
        <v>0</v>
      </c>
      <c r="L101" s="99"/>
      <c r="M101" s="78">
        <f>+Ruta!R101</f>
        <v>0</v>
      </c>
      <c r="N101" s="96">
        <v>0</v>
      </c>
      <c r="O101" s="66">
        <f t="shared" si="6"/>
        <v>0</v>
      </c>
      <c r="P101" s="67"/>
      <c r="Q101" s="66">
        <v>0</v>
      </c>
      <c r="R101" s="66">
        <f t="shared" si="7"/>
        <v>0</v>
      </c>
      <c r="S101" s="66">
        <f t="shared" si="8"/>
        <v>0</v>
      </c>
      <c r="T101" s="66">
        <f t="shared" si="9"/>
        <v>0</v>
      </c>
      <c r="U101" s="66">
        <f t="shared" si="10"/>
        <v>0</v>
      </c>
      <c r="V101" s="66">
        <f t="shared" si="11"/>
        <v>0</v>
      </c>
    </row>
    <row r="102" spans="2:22" x14ac:dyDescent="0.25">
      <c r="B102" s="97" t="str">
        <f>+Ruta!B102</f>
        <v>NO</v>
      </c>
      <c r="C102" s="97">
        <f>+Ruta!C102</f>
        <v>99</v>
      </c>
      <c r="D102" s="97" t="str">
        <f>+Ruta!D102</f>
        <v xml:space="preserve">Buga </v>
      </c>
      <c r="E102" s="97" t="str">
        <f>+Ruta!E102</f>
        <v>Supermercado</v>
      </c>
      <c r="F102" s="97" t="str">
        <f>+Ruta!F102</f>
        <v>Lina Colonia</v>
      </c>
      <c r="G102" s="97" t="str">
        <f>+Ruta!G102</f>
        <v xml:space="preserve">Buga Valle real Surtifamiliar </v>
      </c>
      <c r="H102" s="97">
        <f>+Ruta!H102</f>
        <v>3108497538</v>
      </c>
      <c r="I102" s="97" t="str">
        <f>+Ruta!I102</f>
        <v>Marques 3años Botella + Can Agte  - Marques 3años Botella  + Can Marques 3años -Marques Bot 3años P2 x 3 - Marques Can P2 X3 -</v>
      </c>
      <c r="J102" s="97" t="str">
        <f>+Ruta!J102</f>
        <v>CRA 30N° 12 – 64 </v>
      </c>
      <c r="K102" s="97">
        <f>+Ruta!K102</f>
        <v>0</v>
      </c>
      <c r="L102" s="99"/>
      <c r="M102" s="78">
        <f>+Ruta!R102</f>
        <v>0</v>
      </c>
      <c r="N102" s="96">
        <v>0</v>
      </c>
      <c r="O102" s="66">
        <f t="shared" si="6"/>
        <v>0</v>
      </c>
      <c r="P102" s="67"/>
      <c r="Q102" s="66">
        <v>0</v>
      </c>
      <c r="R102" s="66">
        <f t="shared" si="7"/>
        <v>0</v>
      </c>
      <c r="S102" s="66">
        <f t="shared" si="8"/>
        <v>0</v>
      </c>
      <c r="T102" s="66">
        <f t="shared" si="9"/>
        <v>0</v>
      </c>
      <c r="U102" s="66">
        <f t="shared" si="10"/>
        <v>0</v>
      </c>
      <c r="V102" s="66">
        <f t="shared" si="11"/>
        <v>0</v>
      </c>
    </row>
    <row r="103" spans="2:22" hidden="1" x14ac:dyDescent="0.25">
      <c r="B103" s="97" t="str">
        <f>+Ruta!B103</f>
        <v>NO</v>
      </c>
      <c r="C103" s="97">
        <f>+Ruta!C103</f>
        <v>100</v>
      </c>
      <c r="D103" s="97" t="str">
        <f>+Ruta!D103</f>
        <v>Guacarí</v>
      </c>
      <c r="E103" s="97" t="str">
        <f>+Ruta!E103</f>
        <v>Supermercado</v>
      </c>
      <c r="F103" s="97" t="str">
        <f>+Ruta!F103</f>
        <v>Lina Colonia</v>
      </c>
      <c r="G103" s="97" t="str">
        <f>+Ruta!G103</f>
        <v xml:space="preserve">Guacari Surtifamiliar </v>
      </c>
      <c r="H103" s="97">
        <f>+Ruta!H103</f>
        <v>3202545256</v>
      </c>
      <c r="I103" s="97" t="str">
        <f>+Ruta!I103</f>
        <v>Marques 3años Botella + Can Agte  - Marques 3años Botella  + Can Marques 3años -Marques Bot 3años P2 x 3 - Marques Can P2 X3 -</v>
      </c>
      <c r="J103" s="97" t="str">
        <f>+Ruta!J103</f>
        <v>CRA 7 N° 6 – 52</v>
      </c>
      <c r="K103" s="97">
        <f>+Ruta!K103</f>
        <v>0</v>
      </c>
      <c r="L103" s="99"/>
      <c r="M103" s="78">
        <f>+Ruta!R103</f>
        <v>0</v>
      </c>
      <c r="N103" s="96">
        <v>0</v>
      </c>
      <c r="O103" s="66">
        <f t="shared" si="6"/>
        <v>0</v>
      </c>
      <c r="P103" s="67"/>
      <c r="Q103" s="66">
        <v>0</v>
      </c>
      <c r="R103" s="66">
        <f t="shared" si="7"/>
        <v>0</v>
      </c>
      <c r="S103" s="66">
        <f t="shared" si="8"/>
        <v>0</v>
      </c>
      <c r="T103" s="66">
        <f t="shared" si="9"/>
        <v>0</v>
      </c>
      <c r="U103" s="66">
        <f t="shared" si="10"/>
        <v>0</v>
      </c>
      <c r="V103" s="66">
        <f t="shared" si="11"/>
        <v>0</v>
      </c>
    </row>
    <row r="104" spans="2:22" hidden="1" x14ac:dyDescent="0.25">
      <c r="B104" s="97" t="str">
        <f>+Ruta!B104</f>
        <v>NO</v>
      </c>
      <c r="C104" s="97">
        <f>+Ruta!C104</f>
        <v>101</v>
      </c>
      <c r="D104" s="97" t="str">
        <f>+Ruta!D104</f>
        <v>Cerrito</v>
      </c>
      <c r="E104" s="97" t="str">
        <f>+Ruta!E104</f>
        <v>Supermercado</v>
      </c>
      <c r="F104" s="97" t="str">
        <f>+Ruta!F104</f>
        <v>Katherine Rengifo</v>
      </c>
      <c r="G104" s="97" t="str">
        <f>+Ruta!G104</f>
        <v>SurtiFamiliar</v>
      </c>
      <c r="H104" s="97">
        <f>+Ruta!H104</f>
        <v>3113580948</v>
      </c>
      <c r="I104" s="97" t="str">
        <f>+Ruta!I104</f>
        <v>Marques 3años Botella + Can Agte  - Marques 3años Botella  + Can Marques 3años -Marques Bot 3años P2 x 3 - Marques Can P2 X3 -</v>
      </c>
      <c r="J104" s="97" t="str">
        <f>+Ruta!J104</f>
        <v>CALLE 8N° 13 – 52</v>
      </c>
      <c r="K104" s="97">
        <f>+Ruta!K104</f>
        <v>0</v>
      </c>
      <c r="L104" s="99"/>
      <c r="M104" s="78">
        <f>+Ruta!R104</f>
        <v>0</v>
      </c>
      <c r="N104" s="96">
        <v>0</v>
      </c>
      <c r="O104" s="66">
        <f t="shared" si="6"/>
        <v>0</v>
      </c>
      <c r="P104" s="67"/>
      <c r="Q104" s="66">
        <v>0</v>
      </c>
      <c r="R104" s="66">
        <f t="shared" si="7"/>
        <v>0</v>
      </c>
      <c r="S104" s="66">
        <f t="shared" si="8"/>
        <v>0</v>
      </c>
      <c r="T104" s="66">
        <f t="shared" si="9"/>
        <v>0</v>
      </c>
      <c r="U104" s="66">
        <f t="shared" si="10"/>
        <v>0</v>
      </c>
      <c r="V104" s="66">
        <f t="shared" si="11"/>
        <v>0</v>
      </c>
    </row>
    <row r="105" spans="2:22" hidden="1" x14ac:dyDescent="0.25">
      <c r="B105" s="97" t="str">
        <f>+Ruta!B105</f>
        <v>NO</v>
      </c>
      <c r="C105" s="97">
        <f>+Ruta!C105</f>
        <v>102</v>
      </c>
      <c r="D105" s="97" t="str">
        <f>+Ruta!D105</f>
        <v xml:space="preserve">Vijes </v>
      </c>
      <c r="E105" s="97" t="str">
        <f>+Ruta!E105</f>
        <v>Supermercado</v>
      </c>
      <c r="F105" s="97" t="str">
        <f>+Ruta!F105</f>
        <v>Miriam Mejia</v>
      </c>
      <c r="G105" s="97" t="str">
        <f>+Ruta!G105</f>
        <v>SurtiFamiliar</v>
      </c>
      <c r="H105" s="97">
        <f>+Ruta!H105</f>
        <v>3207162674</v>
      </c>
      <c r="I105" s="97" t="str">
        <f>+Ruta!I105</f>
        <v>Marques 3años Botella + Can Agte  - Marques 3años Botella  + Can Marques 3años -Marques Bot 3años P2 x 3 - Marques Can P2 X3 -</v>
      </c>
      <c r="J105" s="97" t="str">
        <f>+Ruta!J105</f>
        <v>CALLE 7 N°4 – 80 ESQUINA</v>
      </c>
      <c r="K105" s="97">
        <f>+Ruta!K105</f>
        <v>0</v>
      </c>
      <c r="L105" s="99"/>
      <c r="M105" s="78">
        <f>+Ruta!R105</f>
        <v>0</v>
      </c>
      <c r="N105" s="96">
        <v>0</v>
      </c>
      <c r="O105" s="66">
        <f t="shared" si="6"/>
        <v>0</v>
      </c>
      <c r="P105" s="67"/>
      <c r="Q105" s="66">
        <v>0</v>
      </c>
      <c r="R105" s="66">
        <f t="shared" si="7"/>
        <v>0</v>
      </c>
      <c r="S105" s="66">
        <f t="shared" si="8"/>
        <v>0</v>
      </c>
      <c r="T105" s="66">
        <f t="shared" si="9"/>
        <v>0</v>
      </c>
      <c r="U105" s="66">
        <f t="shared" si="10"/>
        <v>0</v>
      </c>
      <c r="V105" s="66">
        <f t="shared" si="11"/>
        <v>0</v>
      </c>
    </row>
    <row r="106" spans="2:22" hidden="1" x14ac:dyDescent="0.25">
      <c r="B106" s="97" t="str">
        <f>+Ruta!B106</f>
        <v>NO</v>
      </c>
      <c r="C106" s="97">
        <f>+Ruta!C106</f>
        <v>103</v>
      </c>
      <c r="D106" s="97" t="str">
        <f>+Ruta!D106</f>
        <v xml:space="preserve">Acopi </v>
      </c>
      <c r="E106" s="97" t="str">
        <f>+Ruta!E106</f>
        <v>Supermercado</v>
      </c>
      <c r="F106" s="97" t="str">
        <f>+Ruta!F106</f>
        <v>Miriam Mejia</v>
      </c>
      <c r="G106" s="97" t="str">
        <f>+Ruta!G106</f>
        <v>SurtiFamiliar</v>
      </c>
      <c r="H106" s="97">
        <f>+Ruta!H106</f>
        <v>3136709023</v>
      </c>
      <c r="I106" s="97" t="str">
        <f>+Ruta!I106</f>
        <v>Marques 3años Botella + Can Agte  - Marques 3años Botella  + Can Marques 3años -Marques Bot 3años P2 x 3 - Marques Can P2 X3 -</v>
      </c>
      <c r="J106" s="97" t="str">
        <f>+Ruta!J106</f>
        <v>CRA 40N° 12A – 237</v>
      </c>
      <c r="K106" s="97">
        <f>+Ruta!K106</f>
        <v>0</v>
      </c>
      <c r="L106" s="99"/>
      <c r="M106" s="78">
        <f>+Ruta!R106</f>
        <v>0</v>
      </c>
      <c r="N106" s="96">
        <v>0</v>
      </c>
      <c r="O106" s="66">
        <f t="shared" si="6"/>
        <v>0</v>
      </c>
      <c r="P106" s="67"/>
      <c r="Q106" s="66">
        <v>0</v>
      </c>
      <c r="R106" s="66">
        <f t="shared" si="7"/>
        <v>0</v>
      </c>
      <c r="S106" s="66">
        <f t="shared" si="8"/>
        <v>0</v>
      </c>
      <c r="T106" s="66">
        <f t="shared" si="9"/>
        <v>0</v>
      </c>
      <c r="U106" s="66">
        <f t="shared" si="10"/>
        <v>0</v>
      </c>
      <c r="V106" s="66">
        <f t="shared" si="11"/>
        <v>0</v>
      </c>
    </row>
    <row r="107" spans="2:22" hidden="1" x14ac:dyDescent="0.25">
      <c r="B107" s="97" t="str">
        <f>+Ruta!B107</f>
        <v>NO</v>
      </c>
      <c r="C107" s="97">
        <f>+Ruta!C107</f>
        <v>104</v>
      </c>
      <c r="D107" s="97" t="str">
        <f>+Ruta!D107</f>
        <v>Alcazres</v>
      </c>
      <c r="E107" s="97" t="str">
        <f>+Ruta!E107</f>
        <v>Supermercado</v>
      </c>
      <c r="F107" s="97" t="str">
        <f>+Ruta!F107</f>
        <v>Miriam Mejia</v>
      </c>
      <c r="G107" s="97" t="str">
        <f>+Ruta!G107</f>
        <v>SurtiFamiliar</v>
      </c>
      <c r="H107" s="97">
        <f>+Ruta!H107</f>
        <v>3206931192</v>
      </c>
      <c r="I107" s="97" t="str">
        <f>+Ruta!I107</f>
        <v>Marques 3años Botella + Can Agte  - Marques 3años Botella  + Can Marques 3años -Marques Bot 3años P2 x 3 - Marques Can P2 X3 -</v>
      </c>
      <c r="J107" s="97" t="str">
        <f>+Ruta!J107</f>
        <v>CRA 1A5N° 71 – 46</v>
      </c>
      <c r="K107" s="97">
        <f>+Ruta!K107</f>
        <v>0</v>
      </c>
      <c r="L107" s="99"/>
      <c r="M107" s="78">
        <f>+Ruta!R107</f>
        <v>0</v>
      </c>
      <c r="N107" s="96">
        <v>0</v>
      </c>
      <c r="O107" s="66">
        <f t="shared" si="6"/>
        <v>0</v>
      </c>
      <c r="P107" s="67"/>
      <c r="Q107" s="66">
        <v>0</v>
      </c>
      <c r="R107" s="66">
        <f t="shared" si="7"/>
        <v>0</v>
      </c>
      <c r="S107" s="66">
        <f t="shared" si="8"/>
        <v>0</v>
      </c>
      <c r="T107" s="66">
        <f t="shared" si="9"/>
        <v>0</v>
      </c>
      <c r="U107" s="66">
        <f t="shared" si="10"/>
        <v>0</v>
      </c>
      <c r="V107" s="66">
        <f t="shared" si="11"/>
        <v>0</v>
      </c>
    </row>
    <row r="108" spans="2:22" hidden="1" x14ac:dyDescent="0.25">
      <c r="B108" s="97" t="str">
        <f>+Ruta!B108</f>
        <v>NO</v>
      </c>
      <c r="C108" s="97">
        <f>+Ruta!C108</f>
        <v>105</v>
      </c>
      <c r="D108" s="97" t="str">
        <f>+Ruta!D108</f>
        <v>Alameda</v>
      </c>
      <c r="E108" s="97" t="str">
        <f>+Ruta!E108</f>
        <v>Supermercado</v>
      </c>
      <c r="F108" s="97" t="str">
        <f>+Ruta!F108</f>
        <v>Miriam Mejia</v>
      </c>
      <c r="G108" s="97" t="str">
        <f>+Ruta!G108</f>
        <v>SurtiFamiliar</v>
      </c>
      <c r="H108" s="97">
        <f>+Ruta!H108</f>
        <v>3217007997</v>
      </c>
      <c r="I108" s="97" t="str">
        <f>+Ruta!I108</f>
        <v>Marques 3años Botella + Can Agte  - Marques 3años Botella  + Can Marques 3años -Marques Bot 3años P2 x 3 - Marques Can P2 X3 -</v>
      </c>
      <c r="J108" s="97" t="str">
        <f>+Ruta!J108</f>
        <v>CL 9 B 23 C 65</v>
      </c>
      <c r="K108" s="97">
        <f>+Ruta!K108</f>
        <v>0</v>
      </c>
      <c r="L108" s="99"/>
      <c r="M108" s="78">
        <f>+Ruta!R108</f>
        <v>0</v>
      </c>
      <c r="N108" s="96">
        <v>0</v>
      </c>
      <c r="O108" s="66">
        <f t="shared" si="6"/>
        <v>0</v>
      </c>
      <c r="P108" s="67"/>
      <c r="Q108" s="66">
        <v>0</v>
      </c>
      <c r="R108" s="66">
        <f t="shared" si="7"/>
        <v>0</v>
      </c>
      <c r="S108" s="66">
        <f t="shared" si="8"/>
        <v>0</v>
      </c>
      <c r="T108" s="66">
        <f t="shared" si="9"/>
        <v>0</v>
      </c>
      <c r="U108" s="66">
        <f t="shared" si="10"/>
        <v>0</v>
      </c>
      <c r="V108" s="66">
        <f t="shared" si="11"/>
        <v>0</v>
      </c>
    </row>
    <row r="109" spans="2:22" hidden="1" x14ac:dyDescent="0.25">
      <c r="B109" s="97" t="str">
        <f>+Ruta!B109</f>
        <v>NO</v>
      </c>
      <c r="C109" s="97">
        <f>+Ruta!C109</f>
        <v>106</v>
      </c>
      <c r="D109" s="97" t="str">
        <f>+Ruta!D109</f>
        <v xml:space="preserve">Caney </v>
      </c>
      <c r="E109" s="97" t="str">
        <f>+Ruta!E109</f>
        <v>Supermercado</v>
      </c>
      <c r="F109" s="97" t="str">
        <f>+Ruta!F109</f>
        <v>Miriam Mejia</v>
      </c>
      <c r="G109" s="97" t="str">
        <f>+Ruta!G109</f>
        <v>SurtiFamiliar</v>
      </c>
      <c r="H109" s="97">
        <f>+Ruta!H109</f>
        <v>3216249142</v>
      </c>
      <c r="I109" s="97" t="str">
        <f>+Ruta!I109</f>
        <v>Marques 3años Botella + Can Agte  - Marques 3años Botella  + Can Marques 3años -Marques Bot 3años P2 x 3 - Marques Can P2 X3 -</v>
      </c>
      <c r="J109" s="97" t="str">
        <f>+Ruta!J109</f>
        <v>CALLE 48N° – 83E ESQUINA</v>
      </c>
      <c r="K109" s="97">
        <f>+Ruta!K109</f>
        <v>0</v>
      </c>
      <c r="L109" s="99"/>
      <c r="M109" s="78">
        <f>+Ruta!R109</f>
        <v>0</v>
      </c>
      <c r="N109" s="96">
        <v>0</v>
      </c>
      <c r="O109" s="66">
        <f t="shared" si="6"/>
        <v>0</v>
      </c>
      <c r="P109" s="67"/>
      <c r="Q109" s="66">
        <v>0</v>
      </c>
      <c r="R109" s="66">
        <f t="shared" si="7"/>
        <v>0</v>
      </c>
      <c r="S109" s="66">
        <f t="shared" si="8"/>
        <v>0</v>
      </c>
      <c r="T109" s="66">
        <f t="shared" si="9"/>
        <v>0</v>
      </c>
      <c r="U109" s="66">
        <f t="shared" si="10"/>
        <v>0</v>
      </c>
      <c r="V109" s="66">
        <f t="shared" si="11"/>
        <v>0</v>
      </c>
    </row>
    <row r="110" spans="2:22" hidden="1" x14ac:dyDescent="0.25">
      <c r="B110" s="97" t="str">
        <f>+Ruta!B110</f>
        <v>NO</v>
      </c>
      <c r="C110" s="97">
        <f>+Ruta!C110</f>
        <v>107</v>
      </c>
      <c r="D110" s="97" t="str">
        <f>+Ruta!D110</f>
        <v>Cali</v>
      </c>
      <c r="E110" s="97" t="str">
        <f>+Ruta!E110</f>
        <v>Supermercado</v>
      </c>
      <c r="F110" s="97" t="str">
        <f>+Ruta!F110</f>
        <v>Miriam Mejia</v>
      </c>
      <c r="G110" s="97" t="str">
        <f>+Ruta!G110</f>
        <v xml:space="preserve">comfandi Guadalupe </v>
      </c>
      <c r="H110" s="97">
        <f>+Ruta!H110</f>
        <v>3176365583</v>
      </c>
      <c r="I110" s="97" t="str">
        <f>+Ruta!I110</f>
        <v>Marques 3años Botella + Can Agte  - Marques 3años Botella  + Can Marques 3años -Marques Bot 3años P2 x 3 - Marques Can P2 X3 -</v>
      </c>
      <c r="J110" s="97" t="str">
        <f>+Ruta!J110</f>
        <v>Cl. 10 ##56,</v>
      </c>
      <c r="K110" s="97">
        <f>+Ruta!K110</f>
        <v>0</v>
      </c>
      <c r="L110" s="99"/>
      <c r="M110" s="78">
        <f>+Ruta!R110</f>
        <v>0</v>
      </c>
      <c r="N110" s="96">
        <v>0</v>
      </c>
      <c r="O110" s="66">
        <f t="shared" si="6"/>
        <v>0</v>
      </c>
      <c r="P110" s="67"/>
      <c r="Q110" s="66">
        <v>0</v>
      </c>
      <c r="R110" s="66">
        <f t="shared" si="7"/>
        <v>0</v>
      </c>
      <c r="S110" s="66">
        <f t="shared" si="8"/>
        <v>0</v>
      </c>
      <c r="T110" s="66">
        <f t="shared" si="9"/>
        <v>0</v>
      </c>
      <c r="U110" s="66">
        <f t="shared" si="10"/>
        <v>0</v>
      </c>
      <c r="V110" s="66">
        <f t="shared" si="11"/>
        <v>0</v>
      </c>
    </row>
    <row r="111" spans="2:22" hidden="1" x14ac:dyDescent="0.25">
      <c r="B111" s="97" t="str">
        <f>+Ruta!B111</f>
        <v>NO</v>
      </c>
      <c r="C111" s="97">
        <f>+Ruta!C111</f>
        <v>108</v>
      </c>
      <c r="D111" s="97" t="str">
        <f>+Ruta!D111</f>
        <v>Cali</v>
      </c>
      <c r="E111" s="97" t="str">
        <f>+Ruta!E111</f>
        <v>Supermercado</v>
      </c>
      <c r="F111" s="97" t="str">
        <f>+Ruta!F111</f>
        <v>Miriam Mejia</v>
      </c>
      <c r="G111" s="97" t="str">
        <f>+Ruta!G111</f>
        <v xml:space="preserve">comfandi torres </v>
      </c>
      <c r="H111" s="97">
        <f>+Ruta!H111</f>
        <v>3184153685</v>
      </c>
      <c r="I111" s="97" t="str">
        <f>+Ruta!I111</f>
        <v>Marques 3años Botella + Can Agte  - Marques 3años Botella  + Can Marques 3años -Marques Bot 3años P2 x 3 - Marques Can P2 X3 -</v>
      </c>
      <c r="J111" s="97" t="str">
        <f>+Ruta!J111</f>
        <v>Cra. 1 #56-20</v>
      </c>
      <c r="K111" s="97">
        <f>+Ruta!K111</f>
        <v>0</v>
      </c>
      <c r="L111" s="99"/>
      <c r="M111" s="78">
        <f>+Ruta!R111</f>
        <v>0</v>
      </c>
      <c r="N111" s="96">
        <v>0</v>
      </c>
      <c r="O111" s="66">
        <f t="shared" si="6"/>
        <v>0</v>
      </c>
      <c r="P111" s="67"/>
      <c r="Q111" s="66">
        <v>0</v>
      </c>
      <c r="R111" s="66">
        <f t="shared" si="7"/>
        <v>0</v>
      </c>
      <c r="S111" s="66">
        <f t="shared" si="8"/>
        <v>0</v>
      </c>
      <c r="T111" s="66">
        <f t="shared" si="9"/>
        <v>0</v>
      </c>
      <c r="U111" s="66">
        <f t="shared" si="10"/>
        <v>0</v>
      </c>
      <c r="V111" s="66">
        <f t="shared" si="11"/>
        <v>0</v>
      </c>
    </row>
    <row r="112" spans="2:22" hidden="1" x14ac:dyDescent="0.25">
      <c r="B112" s="97" t="str">
        <f>+Ruta!B112</f>
        <v>NO</v>
      </c>
      <c r="C112" s="97">
        <f>+Ruta!C112</f>
        <v>109</v>
      </c>
      <c r="D112" s="97" t="str">
        <f>+Ruta!D112</f>
        <v>Cali</v>
      </c>
      <c r="E112" s="97" t="str">
        <f>+Ruta!E112</f>
        <v>Supermercado</v>
      </c>
      <c r="F112" s="97" t="str">
        <f>+Ruta!F112</f>
        <v>Miriam Mejia</v>
      </c>
      <c r="G112" s="97" t="str">
        <f>+Ruta!G112</f>
        <v xml:space="preserve">comfandi san fernando </v>
      </c>
      <c r="H112" s="97">
        <f>+Ruta!H112</f>
        <v>3174284930</v>
      </c>
      <c r="I112" s="97" t="str">
        <f>+Ruta!I112</f>
        <v>Marques 3años Botella + Can Agte  - Marques 3años Botella  + Can Marques 3años -Marques Bot 3años P2 x 3 - Marques Can P2 X3 -</v>
      </c>
      <c r="J112" s="97" t="str">
        <f>+Ruta!J112</f>
        <v>Cra. 36 #68</v>
      </c>
      <c r="K112" s="97">
        <f>+Ruta!K112</f>
        <v>0</v>
      </c>
      <c r="L112" s="99"/>
      <c r="M112" s="78">
        <f>+Ruta!R112</f>
        <v>0</v>
      </c>
      <c r="N112" s="96">
        <v>0</v>
      </c>
      <c r="O112" s="66">
        <f t="shared" si="6"/>
        <v>0</v>
      </c>
      <c r="P112" s="67"/>
      <c r="Q112" s="66">
        <v>0</v>
      </c>
      <c r="R112" s="66">
        <f t="shared" si="7"/>
        <v>0</v>
      </c>
      <c r="S112" s="66">
        <f t="shared" si="8"/>
        <v>0</v>
      </c>
      <c r="T112" s="66">
        <f t="shared" si="9"/>
        <v>0</v>
      </c>
      <c r="U112" s="66">
        <f t="shared" si="10"/>
        <v>0</v>
      </c>
      <c r="V112" s="66">
        <f t="shared" si="11"/>
        <v>0</v>
      </c>
    </row>
    <row r="113" spans="2:22" hidden="1" x14ac:dyDescent="0.25">
      <c r="B113" s="97" t="str">
        <f>+Ruta!B113</f>
        <v>NO</v>
      </c>
      <c r="C113" s="97">
        <f>+Ruta!C113</f>
        <v>110</v>
      </c>
      <c r="D113" s="97" t="str">
        <f>+Ruta!D113</f>
        <v>Cali</v>
      </c>
      <c r="E113" s="97" t="str">
        <f>+Ruta!E113</f>
        <v>Supermercado</v>
      </c>
      <c r="F113" s="97" t="str">
        <f>+Ruta!F113</f>
        <v>Miriam Mejia</v>
      </c>
      <c r="G113" s="97" t="str">
        <f>+Ruta!G113</f>
        <v xml:space="preserve">super A </v>
      </c>
      <c r="H113" s="97">
        <f>+Ruta!H113</f>
        <v>3172930374</v>
      </c>
      <c r="I113" s="97">
        <f>+Ruta!I113</f>
        <v>0</v>
      </c>
      <c r="J113" s="97" t="str">
        <f>+Ruta!J113</f>
        <v>oeste santa teresita, Av. 2 Oe</v>
      </c>
      <c r="K113" s="97">
        <f>+Ruta!K113</f>
        <v>0</v>
      </c>
      <c r="L113" s="99"/>
      <c r="M113" s="78">
        <f>+Ruta!R113</f>
        <v>0</v>
      </c>
      <c r="N113" s="96">
        <v>0</v>
      </c>
      <c r="O113" s="66">
        <f t="shared" si="6"/>
        <v>0</v>
      </c>
      <c r="P113" s="67"/>
      <c r="Q113" s="66">
        <v>0</v>
      </c>
      <c r="R113" s="66">
        <f t="shared" si="7"/>
        <v>0</v>
      </c>
      <c r="S113" s="66">
        <f t="shared" si="8"/>
        <v>0</v>
      </c>
      <c r="T113" s="66">
        <f t="shared" si="9"/>
        <v>0</v>
      </c>
      <c r="U113" s="66">
        <f t="shared" si="10"/>
        <v>0</v>
      </c>
      <c r="V113" s="66">
        <f t="shared" si="11"/>
        <v>0</v>
      </c>
    </row>
    <row r="114" spans="2:22" hidden="1" x14ac:dyDescent="0.25">
      <c r="B114" s="97" t="str">
        <f>+Ruta!B114</f>
        <v>SI</v>
      </c>
      <c r="C114" s="97">
        <f>+Ruta!C114</f>
        <v>111</v>
      </c>
      <c r="D114" s="97" t="str">
        <f>+Ruta!D114</f>
        <v xml:space="preserve">Cartago </v>
      </c>
      <c r="E114" s="97" t="str">
        <f>+Ruta!E114</f>
        <v xml:space="preserve">Mayorista </v>
      </c>
      <c r="F114" s="97" t="str">
        <f>+Ruta!F114</f>
        <v>Jhenny Romero</v>
      </c>
      <c r="G114" s="97" t="str">
        <f>+Ruta!G114</f>
        <v xml:space="preserve"> Garces</v>
      </c>
      <c r="H114" s="97">
        <f>+Ruta!H114</f>
        <v>2133333</v>
      </c>
      <c r="I114" s="97">
        <f>+Ruta!I114</f>
        <v>0</v>
      </c>
      <c r="J114" s="97" t="str">
        <f>+Ruta!J114</f>
        <v>Carrera 4 # 19-38</v>
      </c>
      <c r="K114" s="97">
        <f>+Ruta!K114</f>
        <v>0</v>
      </c>
      <c r="L114" s="78">
        <v>36</v>
      </c>
      <c r="M114" s="78">
        <f>+Ruta!R114</f>
        <v>60</v>
      </c>
      <c r="N114" s="96">
        <v>1.9946145407400018E-3</v>
      </c>
      <c r="O114" s="66">
        <f t="shared" si="6"/>
        <v>1.9946145407400018</v>
      </c>
      <c r="P114" s="67">
        <v>3</v>
      </c>
      <c r="Q114" s="66">
        <v>3</v>
      </c>
      <c r="R114" s="66">
        <f t="shared" si="7"/>
        <v>5.9838436222200055</v>
      </c>
      <c r="S114" s="66">
        <f t="shared" si="8"/>
        <v>9</v>
      </c>
      <c r="T114" s="66">
        <f t="shared" si="9"/>
        <v>19.946145407400017</v>
      </c>
      <c r="U114" s="66">
        <f t="shared" si="10"/>
        <v>30</v>
      </c>
      <c r="V114" s="66">
        <f t="shared" si="11"/>
        <v>9</v>
      </c>
    </row>
    <row r="115" spans="2:22" hidden="1" x14ac:dyDescent="0.25">
      <c r="B115" s="97" t="str">
        <f>+Ruta!B115</f>
        <v>SI</v>
      </c>
      <c r="C115" s="97">
        <f>+Ruta!C115</f>
        <v>112</v>
      </c>
      <c r="D115" s="97" t="str">
        <f>+Ruta!D115</f>
        <v>Zarzal</v>
      </c>
      <c r="E115" s="97" t="str">
        <f>+Ruta!E115</f>
        <v xml:space="preserve">Mayorista </v>
      </c>
      <c r="F115" s="97" t="str">
        <f>+Ruta!F115</f>
        <v>Jhenny Romero</v>
      </c>
      <c r="G115" s="97" t="str">
        <f>+Ruta!G115</f>
        <v>Cigarrería La Andina</v>
      </c>
      <c r="H115" s="97">
        <f>+Ruta!H115</f>
        <v>3152228870</v>
      </c>
      <c r="I115" s="97" t="str">
        <f>+Ruta!I115</f>
        <v xml:space="preserve">Marques 3años Botella + Can Agte </v>
      </c>
      <c r="J115" s="97" t="str">
        <f>+Ruta!J115</f>
        <v>Calle 9 # 8 - 76</v>
      </c>
      <c r="K115" s="97">
        <f>+Ruta!K115</f>
        <v>0</v>
      </c>
      <c r="L115" s="78">
        <v>50</v>
      </c>
      <c r="M115" s="78">
        <f>+Ruta!R115</f>
        <v>66</v>
      </c>
      <c r="N115" s="96">
        <v>2.1940759948140022E-3</v>
      </c>
      <c r="O115" s="66">
        <f t="shared" si="6"/>
        <v>2.1940759948140021</v>
      </c>
      <c r="P115" s="67">
        <v>3</v>
      </c>
      <c r="Q115" s="66">
        <v>3</v>
      </c>
      <c r="R115" s="66">
        <f t="shared" si="7"/>
        <v>6.5822279844420066</v>
      </c>
      <c r="S115" s="66">
        <f t="shared" si="8"/>
        <v>9</v>
      </c>
      <c r="T115" s="66">
        <f t="shared" si="9"/>
        <v>21.940759948140023</v>
      </c>
      <c r="U115" s="66">
        <f t="shared" si="10"/>
        <v>30</v>
      </c>
      <c r="V115" s="66">
        <f t="shared" si="11"/>
        <v>9</v>
      </c>
    </row>
    <row r="116" spans="2:22" hidden="1" x14ac:dyDescent="0.25">
      <c r="B116" s="97" t="str">
        <f>+Ruta!B116</f>
        <v>SI</v>
      </c>
      <c r="C116" s="97">
        <f>+Ruta!C116</f>
        <v>113</v>
      </c>
      <c r="D116" s="97" t="str">
        <f>+Ruta!D116</f>
        <v xml:space="preserve">Cartago </v>
      </c>
      <c r="E116" s="97" t="str">
        <f>+Ruta!E116</f>
        <v xml:space="preserve">Mayorista </v>
      </c>
      <c r="F116" s="97" t="str">
        <f>+Ruta!F116</f>
        <v>Jhenny Romero</v>
      </c>
      <c r="G116" s="97" t="str">
        <f>+Ruta!G116</f>
        <v>Licores Raulette</v>
      </c>
      <c r="H116" s="97">
        <f>+Ruta!H116</f>
        <v>2125411</v>
      </c>
      <c r="I116" s="97" t="str">
        <f>+Ruta!I116</f>
        <v xml:space="preserve">Marques 3años Botella + Can Agte </v>
      </c>
      <c r="J116" s="97" t="str">
        <f>+Ruta!J116</f>
        <v>Carrera 4 # 11-30</v>
      </c>
      <c r="K116" s="97">
        <f>+Ruta!K116</f>
        <v>0</v>
      </c>
      <c r="L116" s="78">
        <v>120</v>
      </c>
      <c r="M116" s="78">
        <f>+Ruta!R116</f>
        <v>86</v>
      </c>
      <c r="N116" s="96">
        <v>2.8589475083940028E-3</v>
      </c>
      <c r="O116" s="66">
        <f t="shared" si="6"/>
        <v>2.858947508394003</v>
      </c>
      <c r="P116" s="67">
        <v>2.8607187555873415</v>
      </c>
      <c r="Q116" s="66">
        <v>2.8607187555873415</v>
      </c>
      <c r="R116" s="66">
        <f t="shared" si="7"/>
        <v>8.5768425251820091</v>
      </c>
      <c r="S116" s="66">
        <f t="shared" si="8"/>
        <v>8.5821562667620235</v>
      </c>
      <c r="T116" s="66">
        <f t="shared" si="9"/>
        <v>28.589475083940027</v>
      </c>
      <c r="U116" s="66">
        <f t="shared" si="10"/>
        <v>28.607187555873416</v>
      </c>
      <c r="V116" s="66">
        <f t="shared" si="11"/>
        <v>8.5821562667620235</v>
      </c>
    </row>
    <row r="117" spans="2:22" hidden="1" x14ac:dyDescent="0.25">
      <c r="B117" s="97" t="str">
        <f>+Ruta!B117</f>
        <v>SI</v>
      </c>
      <c r="C117" s="97">
        <f>+Ruta!C117</f>
        <v>114</v>
      </c>
      <c r="D117" s="97" t="str">
        <f>+Ruta!D117</f>
        <v xml:space="preserve">La Unión </v>
      </c>
      <c r="E117" s="97" t="str">
        <f>+Ruta!E117</f>
        <v>Licorera</v>
      </c>
      <c r="F117" s="97" t="str">
        <f>+Ruta!F117</f>
        <v>Jhenny Romero</v>
      </c>
      <c r="G117" s="97" t="str">
        <f>+Ruta!G117</f>
        <v>Estanquillo La 16</v>
      </c>
      <c r="H117" s="97">
        <f>+Ruta!H117</f>
        <v>2292935</v>
      </c>
      <c r="I117" s="97" t="str">
        <f>+Ruta!I117</f>
        <v xml:space="preserve">Marques 3años Botella + Can Agte </v>
      </c>
      <c r="J117" s="97" t="str">
        <f>+Ruta!J117</f>
        <v>Carrera 16 # 17 - 44</v>
      </c>
      <c r="K117" s="97">
        <f>+Ruta!K117</f>
        <v>0</v>
      </c>
      <c r="L117" s="78">
        <v>36</v>
      </c>
      <c r="M117" s="78">
        <f>+Ruta!R117</f>
        <v>70</v>
      </c>
      <c r="N117" s="96">
        <v>2.3270502975300022E-3</v>
      </c>
      <c r="O117" s="66">
        <f t="shared" si="6"/>
        <v>2.3270502975300023</v>
      </c>
      <c r="P117" s="67">
        <v>3</v>
      </c>
      <c r="Q117" s="66">
        <v>3</v>
      </c>
      <c r="R117" s="66">
        <f t="shared" si="7"/>
        <v>6.9811508925900068</v>
      </c>
      <c r="S117" s="66">
        <f t="shared" si="8"/>
        <v>9</v>
      </c>
      <c r="T117" s="66">
        <f t="shared" si="9"/>
        <v>23.270502975300023</v>
      </c>
      <c r="U117" s="66">
        <f t="shared" si="10"/>
        <v>30</v>
      </c>
      <c r="V117" s="66">
        <f t="shared" si="11"/>
        <v>9</v>
      </c>
    </row>
    <row r="118" spans="2:22" hidden="1" x14ac:dyDescent="0.25">
      <c r="B118" s="97" t="str">
        <f>+Ruta!B118</f>
        <v>SI</v>
      </c>
      <c r="C118" s="97">
        <f>+Ruta!C118</f>
        <v>115</v>
      </c>
      <c r="D118" s="97" t="str">
        <f>+Ruta!D118</f>
        <v>Roldanillo</v>
      </c>
      <c r="E118" s="97" t="str">
        <f>+Ruta!E118</f>
        <v xml:space="preserve">Mayorista </v>
      </c>
      <c r="F118" s="97" t="str">
        <f>+Ruta!F118</f>
        <v>Jhenny Romero</v>
      </c>
      <c r="G118" s="97" t="str">
        <f>+Ruta!G118</f>
        <v>Estanquillo Muñoz</v>
      </c>
      <c r="H118" s="97">
        <f>+Ruta!H118</f>
        <v>2297172</v>
      </c>
      <c r="I118" s="97" t="str">
        <f>+Ruta!I118</f>
        <v>Marques 3años Botella + Can Agte  - Marques 3años Botella  + Can Marques 3años -Marques Bot 3años P2 x 3 - Marques Can P2 X3 - Marques 8años + Can 3 años</v>
      </c>
      <c r="J118" s="97" t="str">
        <f>+Ruta!J118</f>
        <v>Calle 8 # 7 - 67</v>
      </c>
      <c r="K118" s="97">
        <f>+Ruta!K118</f>
        <v>0</v>
      </c>
      <c r="L118" s="78">
        <v>24</v>
      </c>
      <c r="M118" s="78">
        <f>+Ruta!R118</f>
        <v>68</v>
      </c>
      <c r="N118" s="96">
        <v>2.2605631461720022E-3</v>
      </c>
      <c r="O118" s="66">
        <f t="shared" si="6"/>
        <v>2.2605631461720024</v>
      </c>
      <c r="P118" s="67">
        <v>3</v>
      </c>
      <c r="Q118" s="66">
        <v>3</v>
      </c>
      <c r="R118" s="66">
        <f t="shared" si="7"/>
        <v>6.7816894385160067</v>
      </c>
      <c r="S118" s="66">
        <f t="shared" si="8"/>
        <v>9</v>
      </c>
      <c r="T118" s="66">
        <f t="shared" si="9"/>
        <v>22.605631461720023</v>
      </c>
      <c r="U118" s="66">
        <f t="shared" si="10"/>
        <v>30</v>
      </c>
      <c r="V118" s="66">
        <f t="shared" si="11"/>
        <v>9</v>
      </c>
    </row>
    <row r="119" spans="2:22" hidden="1" x14ac:dyDescent="0.25">
      <c r="B119" s="97" t="str">
        <f>+Ruta!B119</f>
        <v>SI</v>
      </c>
      <c r="C119" s="97">
        <f>+Ruta!C119</f>
        <v>116</v>
      </c>
      <c r="D119" s="97" t="str">
        <f>+Ruta!D119</f>
        <v xml:space="preserve">Cartago </v>
      </c>
      <c r="E119" s="97" t="str">
        <f>+Ruta!E119</f>
        <v xml:space="preserve">Mayorista </v>
      </c>
      <c r="F119" s="97" t="str">
        <f>+Ruta!F119</f>
        <v>Jhenny Romero</v>
      </c>
      <c r="G119" s="97" t="str">
        <f>+Ruta!G119</f>
        <v>Comercializadora Don Jimmy</v>
      </c>
      <c r="H119" s="97">
        <f>+Ruta!H119</f>
        <v>2139099</v>
      </c>
      <c r="I119" s="97" t="str">
        <f>+Ruta!I119</f>
        <v>Marques 3años Botella + Can Agte  - Marques 3años Botella  + Can Marques 3años -Marques Bot 3años P2 x 3 - Marques Can P2 X3 - Marques 8años + Can 3 años</v>
      </c>
      <c r="J119" s="97" t="str">
        <f>+Ruta!J119</f>
        <v>Carrera / # 11-51</v>
      </c>
      <c r="K119" s="97">
        <f>+Ruta!K119</f>
        <v>0</v>
      </c>
      <c r="L119" s="78">
        <v>60</v>
      </c>
      <c r="M119" s="78">
        <f>+Ruta!R119</f>
        <v>280</v>
      </c>
      <c r="N119" s="96">
        <v>9.3082011901200086E-3</v>
      </c>
      <c r="O119" s="66">
        <f t="shared" si="6"/>
        <v>9.308201190120009</v>
      </c>
      <c r="P119" s="67">
        <v>10.72769533345253</v>
      </c>
      <c r="Q119" s="66">
        <v>10.72769533345253</v>
      </c>
      <c r="R119" s="66">
        <f t="shared" si="7"/>
        <v>27.924603570360027</v>
      </c>
      <c r="S119" s="66">
        <f t="shared" si="8"/>
        <v>32.183086000357591</v>
      </c>
      <c r="T119" s="66">
        <f t="shared" si="9"/>
        <v>93.08201190120009</v>
      </c>
      <c r="U119" s="66">
        <v>90</v>
      </c>
      <c r="V119" s="66">
        <f t="shared" si="11"/>
        <v>32.183086000357591</v>
      </c>
    </row>
    <row r="120" spans="2:22" hidden="1" x14ac:dyDescent="0.25">
      <c r="B120" s="97" t="str">
        <f>+Ruta!B120</f>
        <v>NO</v>
      </c>
      <c r="C120" s="97">
        <f>+Ruta!C120</f>
        <v>117</v>
      </c>
      <c r="D120" s="97" t="str">
        <f>+Ruta!D120</f>
        <v>Alcalá</v>
      </c>
      <c r="E120" s="97" t="str">
        <f>+Ruta!E120</f>
        <v>Licorera</v>
      </c>
      <c r="F120" s="97" t="str">
        <f>+Ruta!F120</f>
        <v>Jhenny Romero</v>
      </c>
      <c r="G120" s="97" t="str">
        <f>+Ruta!G120</f>
        <v>Distribuciones El Imán</v>
      </c>
      <c r="H120" s="97">
        <f>+Ruta!H120</f>
        <v>3113183498</v>
      </c>
      <c r="I120" s="97" t="str">
        <f>+Ruta!I120</f>
        <v xml:space="preserve">Marques 3años Botella + Can Agte </v>
      </c>
      <c r="J120" s="97" t="str">
        <f>+Ruta!J120</f>
        <v>Calle 5 # 8-36</v>
      </c>
      <c r="K120" s="97">
        <f>+Ruta!K120</f>
        <v>0</v>
      </c>
      <c r="L120" s="78">
        <v>10</v>
      </c>
      <c r="M120" s="78">
        <f>+Ruta!R120</f>
        <v>3</v>
      </c>
      <c r="N120" s="96">
        <v>9.9730727037000098E-5</v>
      </c>
      <c r="O120" s="66">
        <f t="shared" si="6"/>
        <v>9.9730727037000103E-2</v>
      </c>
      <c r="P120" s="67">
        <v>3</v>
      </c>
      <c r="Q120" s="66">
        <v>3</v>
      </c>
      <c r="R120" s="66">
        <f t="shared" si="7"/>
        <v>0.29919218111100027</v>
      </c>
      <c r="S120" s="66">
        <f t="shared" si="8"/>
        <v>9</v>
      </c>
      <c r="T120" s="66">
        <f t="shared" si="9"/>
        <v>0.997307270370001</v>
      </c>
      <c r="U120" s="66">
        <f t="shared" si="10"/>
        <v>30</v>
      </c>
      <c r="V120" s="66">
        <f t="shared" si="11"/>
        <v>9</v>
      </c>
    </row>
    <row r="121" spans="2:22" hidden="1" x14ac:dyDescent="0.25">
      <c r="B121" s="97" t="str">
        <f>+Ruta!B121</f>
        <v>SI</v>
      </c>
      <c r="C121" s="97">
        <f>+Ruta!C121</f>
        <v>118</v>
      </c>
      <c r="D121" s="97" t="str">
        <f>+Ruta!D121</f>
        <v xml:space="preserve">Cartago </v>
      </c>
      <c r="E121" s="97" t="str">
        <f>+Ruta!E121</f>
        <v xml:space="preserve">Mayorista </v>
      </c>
      <c r="F121" s="97" t="str">
        <f>+Ruta!F121</f>
        <v>Jhenny Romero</v>
      </c>
      <c r="G121" s="97" t="str">
        <f>+Ruta!G121</f>
        <v>Saloon Licores</v>
      </c>
      <c r="H121" s="97">
        <f>+Ruta!H121</f>
        <v>3175131166</v>
      </c>
      <c r="I121" s="97" t="str">
        <f>+Ruta!I121</f>
        <v xml:space="preserve">Marques 3años Botella + Can Agte </v>
      </c>
      <c r="J121" s="97" t="str">
        <f>+Ruta!J121</f>
        <v>Calle 10 # 15 - 20</v>
      </c>
      <c r="K121" s="97">
        <f>+Ruta!K121</f>
        <v>0</v>
      </c>
      <c r="L121" s="78">
        <v>120</v>
      </c>
      <c r="M121" s="78">
        <f>+Ruta!R121</f>
        <v>75</v>
      </c>
      <c r="N121" s="96">
        <v>2.4932681759250023E-3</v>
      </c>
      <c r="O121" s="66">
        <f t="shared" si="6"/>
        <v>2.4932681759250022</v>
      </c>
      <c r="P121" s="67">
        <v>3.2183086000357588</v>
      </c>
      <c r="Q121" s="66">
        <v>3.2183086000357588</v>
      </c>
      <c r="R121" s="66">
        <f t="shared" si="7"/>
        <v>7.4798045277750065</v>
      </c>
      <c r="S121" s="66">
        <f t="shared" si="8"/>
        <v>9.6549258001072769</v>
      </c>
      <c r="T121" s="66">
        <f t="shared" si="9"/>
        <v>24.932681759250023</v>
      </c>
      <c r="U121" s="66">
        <f t="shared" si="10"/>
        <v>32.183086000357591</v>
      </c>
      <c r="V121" s="66">
        <f t="shared" si="11"/>
        <v>9.6549258001072769</v>
      </c>
    </row>
    <row r="122" spans="2:22" hidden="1" x14ac:dyDescent="0.25">
      <c r="B122" s="97" t="str">
        <f>+Ruta!B122</f>
        <v>SI</v>
      </c>
      <c r="C122" s="97">
        <f>+Ruta!C122</f>
        <v>119</v>
      </c>
      <c r="D122" s="97" t="str">
        <f>+Ruta!D122</f>
        <v>Palmira</v>
      </c>
      <c r="E122" s="97" t="str">
        <f>+Ruta!E122</f>
        <v xml:space="preserve">Mayorista </v>
      </c>
      <c r="F122" s="97" t="str">
        <f>+Ruta!F122</f>
        <v>Katherine Rengifo</v>
      </c>
      <c r="G122" s="97" t="str">
        <f>+Ruta!G122</f>
        <v xml:space="preserve">Licores Palmira </v>
      </c>
      <c r="H122" s="97" t="str">
        <f>+Ruta!H122</f>
        <v>2859975-3218677680</v>
      </c>
      <c r="I122" s="97" t="str">
        <f>+Ruta!I122</f>
        <v>Marques 3años Botella + Can Agte  - Marques 3años Botella  + Can Marques 3años -Marques Bot 3años P2 x 3 - Marques Can P2 X3 - Marques 8años + Can 3 años</v>
      </c>
      <c r="J122" s="97" t="str">
        <f>+Ruta!J122</f>
        <v>Calle 31 # 37 - 56</v>
      </c>
      <c r="K122" s="97">
        <f>+Ruta!K122</f>
        <v>0</v>
      </c>
      <c r="L122" s="78">
        <f>15*12</f>
        <v>180</v>
      </c>
      <c r="M122" s="78">
        <f>+Ruta!R122</f>
        <v>1200</v>
      </c>
      <c r="N122" s="96">
        <v>3.9892290814800037E-2</v>
      </c>
      <c r="O122" s="66">
        <f t="shared" si="6"/>
        <v>39.892290814800035</v>
      </c>
      <c r="P122" s="67">
        <v>25.74646880028607</v>
      </c>
      <c r="Q122" s="66">
        <v>25.74646880028607</v>
      </c>
      <c r="R122" s="66">
        <f t="shared" si="7"/>
        <v>119.6768724444001</v>
      </c>
      <c r="S122" s="66">
        <v>100</v>
      </c>
      <c r="T122" s="66">
        <f t="shared" si="9"/>
        <v>398.92290814800037</v>
      </c>
      <c r="U122" s="66">
        <v>350</v>
      </c>
      <c r="V122" s="66">
        <f t="shared" si="11"/>
        <v>100</v>
      </c>
    </row>
    <row r="123" spans="2:22" hidden="1" x14ac:dyDescent="0.25">
      <c r="B123" s="97" t="str">
        <f>+Ruta!B123</f>
        <v>SI</v>
      </c>
      <c r="C123" s="97">
        <f>+Ruta!C123</f>
        <v>120</v>
      </c>
      <c r="D123" s="97" t="str">
        <f>+Ruta!D123</f>
        <v>El Placer</v>
      </c>
      <c r="E123" s="97" t="str">
        <f>+Ruta!E123</f>
        <v xml:space="preserve">Mayorista </v>
      </c>
      <c r="F123" s="97" t="str">
        <f>+Ruta!F123</f>
        <v>Katherine Rengifo</v>
      </c>
      <c r="G123" s="97" t="str">
        <f>+Ruta!G123</f>
        <v>Granero Los Paisas</v>
      </c>
      <c r="H123" s="97" t="str">
        <f>+Ruta!H123</f>
        <v>3173171258-2548145</v>
      </c>
      <c r="I123" s="97" t="str">
        <f>+Ruta!I123</f>
        <v xml:space="preserve">Marques 3años Botella + Can Agte </v>
      </c>
      <c r="J123" s="97" t="str">
        <f>+Ruta!J123</f>
        <v>Carrera 8 # 6 -12</v>
      </c>
      <c r="K123" s="97">
        <f>+Ruta!K123</f>
        <v>0</v>
      </c>
      <c r="L123" s="78">
        <f>6*12</f>
        <v>72</v>
      </c>
      <c r="M123" s="78">
        <f>+Ruta!R123</f>
        <v>300</v>
      </c>
      <c r="N123" s="96">
        <v>9.9730727037000092E-3</v>
      </c>
      <c r="O123" s="66">
        <f t="shared" si="6"/>
        <v>9.9730727037000086</v>
      </c>
      <c r="P123" s="67">
        <v>8.5821562667620253</v>
      </c>
      <c r="Q123" s="66">
        <v>8.5821562667620253</v>
      </c>
      <c r="R123" s="66">
        <f t="shared" si="7"/>
        <v>29.919218111100026</v>
      </c>
      <c r="S123" s="66">
        <v>30</v>
      </c>
      <c r="T123" s="66">
        <f t="shared" si="9"/>
        <v>99.730727037000094</v>
      </c>
      <c r="U123" s="66">
        <v>100</v>
      </c>
      <c r="V123" s="66">
        <f t="shared" si="11"/>
        <v>30</v>
      </c>
    </row>
    <row r="124" spans="2:22" hidden="1" x14ac:dyDescent="0.25">
      <c r="B124" s="97" t="str">
        <f>+Ruta!B124</f>
        <v>SI</v>
      </c>
      <c r="C124" s="97">
        <f>+Ruta!C124</f>
        <v>121</v>
      </c>
      <c r="D124" s="97" t="str">
        <f>+Ruta!D124</f>
        <v>Cerrito</v>
      </c>
      <c r="E124" s="97" t="str">
        <f>+Ruta!E124</f>
        <v>Licorera</v>
      </c>
      <c r="F124" s="97" t="str">
        <f>+Ruta!F124</f>
        <v>Katherine Rengifo</v>
      </c>
      <c r="G124" s="97" t="str">
        <f>+Ruta!G124</f>
        <v>Estanco Punto Blanco</v>
      </c>
      <c r="H124" s="97">
        <f>+Ruta!H124</f>
        <v>3146620834</v>
      </c>
      <c r="I124" s="97" t="str">
        <f>+Ruta!I124</f>
        <v xml:space="preserve">Marques 3años Botella + Can Agte </v>
      </c>
      <c r="J124" s="97" t="str">
        <f>+Ruta!J124</f>
        <v>Calle 7 # 12 - 08</v>
      </c>
      <c r="K124" s="97">
        <f>+Ruta!K124</f>
        <v>0</v>
      </c>
      <c r="L124" s="78">
        <f>4*12</f>
        <v>48</v>
      </c>
      <c r="M124" s="78">
        <f>+Ruta!R124</f>
        <v>300</v>
      </c>
      <c r="N124" s="96">
        <v>9.9730727037000092E-3</v>
      </c>
      <c r="O124" s="66">
        <f t="shared" si="6"/>
        <v>9.9730727037000086</v>
      </c>
      <c r="P124" s="67">
        <v>8.5821562667620253</v>
      </c>
      <c r="Q124" s="66">
        <v>8.5821562667620253</v>
      </c>
      <c r="R124" s="66">
        <f t="shared" si="7"/>
        <v>29.919218111100026</v>
      </c>
      <c r="S124" s="66">
        <v>30</v>
      </c>
      <c r="T124" s="66">
        <f t="shared" si="9"/>
        <v>99.730727037000094</v>
      </c>
      <c r="U124" s="66">
        <v>100</v>
      </c>
      <c r="V124" s="66">
        <f t="shared" si="11"/>
        <v>30</v>
      </c>
    </row>
    <row r="125" spans="2:22" hidden="1" x14ac:dyDescent="0.25">
      <c r="B125" s="97" t="str">
        <f>+Ruta!B125</f>
        <v>SI</v>
      </c>
      <c r="C125" s="97">
        <f>+Ruta!C125</f>
        <v>122</v>
      </c>
      <c r="D125" s="97" t="str">
        <f>+Ruta!D125</f>
        <v>Pradera</v>
      </c>
      <c r="E125" s="97" t="str">
        <f>+Ruta!E125</f>
        <v>Licorera</v>
      </c>
      <c r="F125" s="97" t="str">
        <f>+Ruta!F125</f>
        <v>Katherine Rengifo</v>
      </c>
      <c r="G125" s="97" t="str">
        <f>+Ruta!G125</f>
        <v>El Barril de la 6</v>
      </c>
      <c r="H125" s="97" t="str">
        <f>+Ruta!H125</f>
        <v>3163471484-2670572-3187944106</v>
      </c>
      <c r="I125" s="97" t="str">
        <f>+Ruta!I125</f>
        <v xml:space="preserve">Marques 3años Botella + Can Agte </v>
      </c>
      <c r="J125" s="97" t="str">
        <f>+Ruta!J125</f>
        <v>Calle 6 # 11-03</v>
      </c>
      <c r="K125" s="97">
        <f>+Ruta!K125</f>
        <v>0</v>
      </c>
      <c r="L125" s="78">
        <f>10*12</f>
        <v>120</v>
      </c>
      <c r="M125" s="78">
        <f>+Ruta!R125</f>
        <v>840</v>
      </c>
      <c r="N125" s="96">
        <v>2.7924603570360029E-2</v>
      </c>
      <c r="O125" s="66">
        <f t="shared" si="6"/>
        <v>27.924603570360031</v>
      </c>
      <c r="P125" s="67">
        <v>21.45539066690506</v>
      </c>
      <c r="Q125" s="66">
        <v>21.45539066690506</v>
      </c>
      <c r="R125" s="66">
        <f t="shared" si="7"/>
        <v>83.773810711080088</v>
      </c>
      <c r="S125" s="66">
        <v>80</v>
      </c>
      <c r="T125" s="66">
        <f t="shared" si="9"/>
        <v>279.24603570360028</v>
      </c>
      <c r="U125" s="66">
        <v>260</v>
      </c>
      <c r="V125" s="66">
        <f t="shared" si="11"/>
        <v>80</v>
      </c>
    </row>
    <row r="126" spans="2:22" hidden="1" x14ac:dyDescent="0.25">
      <c r="B126" s="97" t="str">
        <f>+Ruta!B126</f>
        <v>SI</v>
      </c>
      <c r="C126" s="97">
        <f>+Ruta!C126</f>
        <v>123</v>
      </c>
      <c r="D126" s="97" t="str">
        <f>+Ruta!D126</f>
        <v>Pradera</v>
      </c>
      <c r="E126" s="97" t="str">
        <f>+Ruta!E126</f>
        <v>Supermercado</v>
      </c>
      <c r="F126" s="97" t="str">
        <f>+Ruta!F126</f>
        <v>Katherine Rengifo</v>
      </c>
      <c r="G126" s="97" t="str">
        <f>+Ruta!G126</f>
        <v>Mercapava</v>
      </c>
      <c r="H126" s="97">
        <f>+Ruta!H126</f>
        <v>2834030</v>
      </c>
      <c r="I126" s="97" t="str">
        <f>+Ruta!I126</f>
        <v xml:space="preserve">Marques 3años Botella + Can Agte </v>
      </c>
      <c r="J126" s="97" t="str">
        <f>+Ruta!J126</f>
        <v>Calle 7 # 9-59</v>
      </c>
      <c r="K126" s="97">
        <f>+Ruta!K126</f>
        <v>0</v>
      </c>
      <c r="L126" s="78"/>
      <c r="M126" s="78">
        <f>+Ruta!R126</f>
        <v>420</v>
      </c>
      <c r="N126" s="96">
        <v>1.3962301785180015E-2</v>
      </c>
      <c r="O126" s="66">
        <f t="shared" si="6"/>
        <v>13.962301785180015</v>
      </c>
      <c r="P126" s="67">
        <v>4.2910781333810126</v>
      </c>
      <c r="Q126" s="66">
        <v>4.2910781333810126</v>
      </c>
      <c r="R126" s="66">
        <f t="shared" si="7"/>
        <v>41.886905355540044</v>
      </c>
      <c r="S126" s="66">
        <v>40</v>
      </c>
      <c r="T126" s="66">
        <f t="shared" si="9"/>
        <v>139.62301785180014</v>
      </c>
      <c r="U126" s="66">
        <v>120</v>
      </c>
      <c r="V126" s="66">
        <f t="shared" si="11"/>
        <v>40</v>
      </c>
    </row>
    <row r="127" spans="2:22" hidden="1" x14ac:dyDescent="0.25">
      <c r="B127" s="97" t="str">
        <f>+Ruta!B127</f>
        <v>SI</v>
      </c>
      <c r="C127" s="97">
        <f>+Ruta!C127</f>
        <v>124</v>
      </c>
      <c r="D127" s="97" t="str">
        <f>+Ruta!D127</f>
        <v xml:space="preserve">Candelaria </v>
      </c>
      <c r="E127" s="97" t="str">
        <f>+Ruta!E127</f>
        <v xml:space="preserve">Mayorista </v>
      </c>
      <c r="F127" s="97" t="str">
        <f>+Ruta!F127</f>
        <v>Katherine Rengifo</v>
      </c>
      <c r="G127" s="97" t="str">
        <f>+Ruta!G127</f>
        <v>Estanco y Dulcería Los Paisas</v>
      </c>
      <c r="H127" s="97">
        <f>+Ruta!H127</f>
        <v>3136518541</v>
      </c>
      <c r="I127" s="97" t="str">
        <f>+Ruta!I127</f>
        <v xml:space="preserve">Marques 3años Botella + Can Agte </v>
      </c>
      <c r="J127" s="97" t="str">
        <f>+Ruta!J127</f>
        <v>Carrera 7 # 4-80</v>
      </c>
      <c r="K127" s="97">
        <f>+Ruta!K127</f>
        <v>0</v>
      </c>
      <c r="L127" s="78">
        <f>8*12</f>
        <v>96</v>
      </c>
      <c r="M127" s="78">
        <f>+Ruta!R127</f>
        <v>240</v>
      </c>
      <c r="N127" s="96">
        <v>7.9784581629600074E-3</v>
      </c>
      <c r="O127" s="66">
        <f t="shared" si="6"/>
        <v>7.9784581629600071</v>
      </c>
      <c r="P127" s="67">
        <v>9.8694797067763265</v>
      </c>
      <c r="Q127" s="66">
        <v>9.8694797067763265</v>
      </c>
      <c r="R127" s="66">
        <f t="shared" si="7"/>
        <v>23.935374488880022</v>
      </c>
      <c r="S127" s="66">
        <f t="shared" si="8"/>
        <v>29.608439120328981</v>
      </c>
      <c r="T127" s="66">
        <f t="shared" si="9"/>
        <v>79.784581629600069</v>
      </c>
      <c r="U127" s="66">
        <v>80</v>
      </c>
      <c r="V127" s="66">
        <f t="shared" si="11"/>
        <v>29.608439120328981</v>
      </c>
    </row>
    <row r="128" spans="2:22" hidden="1" x14ac:dyDescent="0.25">
      <c r="B128" s="97" t="str">
        <f>+Ruta!B128</f>
        <v>SI</v>
      </c>
      <c r="C128" s="97">
        <f>+Ruta!C128</f>
        <v>125</v>
      </c>
      <c r="D128" s="97" t="str">
        <f>+Ruta!D128</f>
        <v>Florida</v>
      </c>
      <c r="E128" s="97" t="str">
        <f>+Ruta!E128</f>
        <v xml:space="preserve">Mayorista </v>
      </c>
      <c r="F128" s="97" t="str">
        <f>+Ruta!F128</f>
        <v>Katherine Rengifo</v>
      </c>
      <c r="G128" s="97" t="str">
        <f>+Ruta!G128</f>
        <v>Distribuidora Cordillera Central</v>
      </c>
      <c r="H128" s="97">
        <f>+Ruta!H128</f>
        <v>3117666820</v>
      </c>
      <c r="I128" s="97">
        <f>+Ruta!I128</f>
        <v>0</v>
      </c>
      <c r="J128" s="97" t="str">
        <f>+Ruta!J128</f>
        <v>Carrera 14 # 8 - 61</v>
      </c>
      <c r="K128" s="97">
        <f>+Ruta!K128</f>
        <v>0</v>
      </c>
      <c r="L128" s="78">
        <v>0</v>
      </c>
      <c r="M128" s="78">
        <f>+Ruta!R128</f>
        <v>180</v>
      </c>
      <c r="N128" s="96">
        <v>5.9838436222200064E-3</v>
      </c>
      <c r="O128" s="66">
        <f t="shared" si="6"/>
        <v>5.9838436222200064</v>
      </c>
      <c r="P128" s="67">
        <v>2.5746468800286073</v>
      </c>
      <c r="Q128" s="66">
        <v>2.5746468800286073</v>
      </c>
      <c r="R128" s="66">
        <f t="shared" si="7"/>
        <v>17.951530866660018</v>
      </c>
      <c r="S128" s="66">
        <v>18</v>
      </c>
      <c r="T128" s="66">
        <f t="shared" si="9"/>
        <v>59.838436222200066</v>
      </c>
      <c r="U128" s="66">
        <v>50</v>
      </c>
      <c r="V128" s="66">
        <f t="shared" si="11"/>
        <v>18</v>
      </c>
    </row>
    <row r="129" spans="2:23" hidden="1" x14ac:dyDescent="0.25">
      <c r="B129" s="97" t="str">
        <f>+Ruta!B129</f>
        <v>SI</v>
      </c>
      <c r="C129" s="97">
        <f>+Ruta!C129</f>
        <v>126</v>
      </c>
      <c r="D129" s="97" t="str">
        <f>+Ruta!D129</f>
        <v>Palmira</v>
      </c>
      <c r="E129" s="97" t="str">
        <f>+Ruta!E129</f>
        <v>Supermercado</v>
      </c>
      <c r="F129" s="97" t="str">
        <f>+Ruta!F129</f>
        <v>Katherine Rengifo</v>
      </c>
      <c r="G129" s="97" t="str">
        <f>+Ruta!G129</f>
        <v>Supermercado La Gran Colombia</v>
      </c>
      <c r="H129" s="97">
        <f>+Ruta!H129</f>
        <v>3004377555</v>
      </c>
      <c r="I129" s="97" t="str">
        <f>+Ruta!I129</f>
        <v xml:space="preserve">Marques 3años Botella + Can Agte </v>
      </c>
      <c r="J129" s="97" t="str">
        <f>+Ruta!J129</f>
        <v>Carrera 28 # 66A - 86</v>
      </c>
      <c r="K129" s="97">
        <f>+Ruta!K129</f>
        <v>0</v>
      </c>
      <c r="L129" s="78"/>
      <c r="M129" s="78">
        <f>+Ruta!R129</f>
        <v>24</v>
      </c>
      <c r="N129" s="96">
        <v>7.9784581629600078E-4</v>
      </c>
      <c r="O129" s="66">
        <f t="shared" si="6"/>
        <v>0.79784581629600082</v>
      </c>
      <c r="P129" s="67">
        <v>3</v>
      </c>
      <c r="Q129" s="66">
        <v>3</v>
      </c>
      <c r="R129" s="66">
        <f t="shared" si="7"/>
        <v>2.3935374488880021</v>
      </c>
      <c r="S129" s="66">
        <f t="shared" si="8"/>
        <v>9</v>
      </c>
      <c r="T129" s="66">
        <f t="shared" si="9"/>
        <v>7.978458162960008</v>
      </c>
      <c r="U129" s="66">
        <f t="shared" si="10"/>
        <v>30</v>
      </c>
      <c r="V129" s="66">
        <f t="shared" si="11"/>
        <v>9</v>
      </c>
    </row>
    <row r="130" spans="2:23" hidden="1" x14ac:dyDescent="0.25">
      <c r="B130" s="97" t="str">
        <f>+Ruta!B130</f>
        <v>SI</v>
      </c>
      <c r="C130" s="97">
        <f>+Ruta!C130</f>
        <v>127</v>
      </c>
      <c r="D130" s="97" t="str">
        <f>+Ruta!D130</f>
        <v>Palmira</v>
      </c>
      <c r="E130" s="97" t="str">
        <f>+Ruta!E130</f>
        <v>Supermercado</v>
      </c>
      <c r="F130" s="97" t="str">
        <f>+Ruta!F130</f>
        <v>Katherine Rengifo</v>
      </c>
      <c r="G130" s="97" t="str">
        <f>+Ruta!G130</f>
        <v>SuperInter La Cometa</v>
      </c>
      <c r="H130" s="97">
        <f>+Ruta!H130</f>
        <v>3113775927</v>
      </c>
      <c r="I130" s="97" t="str">
        <f>+Ruta!I130</f>
        <v xml:space="preserve">Marques 3años Botella + Can Agte </v>
      </c>
      <c r="J130" s="97" t="str">
        <f>+Ruta!J130</f>
        <v>Carrera 19 # 42A - 23</v>
      </c>
      <c r="K130" s="97">
        <f>+Ruta!K130</f>
        <v>0</v>
      </c>
      <c r="L130" s="78"/>
      <c r="M130" s="78">
        <f>+Ruta!R130</f>
        <v>120</v>
      </c>
      <c r="N130" s="96">
        <v>3.9892290814800037E-3</v>
      </c>
      <c r="O130" s="66">
        <f t="shared" si="6"/>
        <v>3.9892290814800035</v>
      </c>
      <c r="P130" s="67">
        <v>2.5746468800286073</v>
      </c>
      <c r="Q130" s="66">
        <v>2.5746468800286073</v>
      </c>
      <c r="R130" s="66">
        <f t="shared" si="7"/>
        <v>11.967687244440011</v>
      </c>
      <c r="S130" s="66">
        <f t="shared" si="8"/>
        <v>7.7239406400858215</v>
      </c>
      <c r="T130" s="66">
        <f t="shared" si="9"/>
        <v>39.892290814800035</v>
      </c>
      <c r="U130" s="66">
        <f t="shared" si="10"/>
        <v>25.746468800286074</v>
      </c>
      <c r="V130" s="66">
        <f t="shared" si="11"/>
        <v>7.7239406400858215</v>
      </c>
    </row>
    <row r="131" spans="2:23" hidden="1" x14ac:dyDescent="0.25">
      <c r="B131" s="97" t="str">
        <f>+Ruta!B131</f>
        <v>NO</v>
      </c>
      <c r="C131" s="97">
        <f>+Ruta!C131</f>
        <v>128</v>
      </c>
      <c r="D131" s="97" t="str">
        <f>+Ruta!D131</f>
        <v>Palmira</v>
      </c>
      <c r="E131" s="97" t="str">
        <f>+Ruta!E131</f>
        <v>Supermercado</v>
      </c>
      <c r="F131" s="97" t="str">
        <f>+Ruta!F131</f>
        <v>Katherine Rengifo</v>
      </c>
      <c r="G131" s="97" t="str">
        <f>+Ruta!G131</f>
        <v>SuperInter Centro</v>
      </c>
      <c r="H131" s="97">
        <f>+Ruta!H131</f>
        <v>3215638563</v>
      </c>
      <c r="I131" s="97" t="str">
        <f>+Ruta!I131</f>
        <v xml:space="preserve">Marques 3años Botella + Can Agte </v>
      </c>
      <c r="J131" s="97" t="str">
        <f>+Ruta!J131</f>
        <v>Calle31 #  27 - 37</v>
      </c>
      <c r="K131" s="97">
        <f>+Ruta!K131</f>
        <v>0</v>
      </c>
      <c r="L131" s="78"/>
      <c r="M131" s="78">
        <f>+Ruta!R131</f>
        <v>0</v>
      </c>
      <c r="N131" s="96">
        <v>0</v>
      </c>
      <c r="O131" s="66">
        <f t="shared" si="6"/>
        <v>0</v>
      </c>
      <c r="P131" s="67">
        <v>2.5746468800286073</v>
      </c>
      <c r="Q131" s="66">
        <v>2.5746468800286073</v>
      </c>
      <c r="R131" s="66">
        <f t="shared" si="7"/>
        <v>0</v>
      </c>
      <c r="S131" s="66">
        <f t="shared" si="8"/>
        <v>7.7239406400858215</v>
      </c>
      <c r="T131" s="66">
        <f t="shared" si="9"/>
        <v>0</v>
      </c>
      <c r="U131" s="66">
        <f t="shared" si="10"/>
        <v>25.746468800286074</v>
      </c>
      <c r="V131" s="66">
        <f t="shared" si="11"/>
        <v>7.7239406400858215</v>
      </c>
    </row>
    <row r="132" spans="2:23" ht="13.5" hidden="1" customHeight="1" x14ac:dyDescent="0.25">
      <c r="B132" s="97" t="str">
        <f>+Ruta!B132</f>
        <v>SI</v>
      </c>
      <c r="C132" s="97">
        <f>+Ruta!C132</f>
        <v>129</v>
      </c>
      <c r="D132" s="97" t="str">
        <f>+Ruta!D132</f>
        <v>Palmira</v>
      </c>
      <c r="E132" s="97" t="str">
        <f>+Ruta!E132</f>
        <v>Supermercado</v>
      </c>
      <c r="F132" s="97" t="str">
        <f>+Ruta!F132</f>
        <v>Katherine Rengifo</v>
      </c>
      <c r="G132" s="97" t="str">
        <f>+Ruta!G132</f>
        <v xml:space="preserve">Olimpica Versalles </v>
      </c>
      <c r="H132" s="97">
        <f>+Ruta!H132</f>
        <v>2896657</v>
      </c>
      <c r="I132" s="97" t="str">
        <f>+Ruta!I132</f>
        <v xml:space="preserve">Marques 3años Botella + Can Agte </v>
      </c>
      <c r="J132" s="97" t="str">
        <f>+Ruta!J132</f>
        <v>Calle 42 # 28 Esquina</v>
      </c>
      <c r="K132" s="97">
        <f>+Ruta!K132</f>
        <v>0</v>
      </c>
      <c r="L132" s="78"/>
      <c r="M132" s="78">
        <f>+Ruta!R132</f>
        <v>120</v>
      </c>
      <c r="N132" s="96">
        <v>3.9892290814800037E-3</v>
      </c>
      <c r="O132" s="66">
        <f t="shared" si="6"/>
        <v>3.9892290814800035</v>
      </c>
      <c r="P132" s="67">
        <v>3</v>
      </c>
      <c r="Q132" s="66">
        <v>3</v>
      </c>
      <c r="R132" s="66">
        <f t="shared" si="7"/>
        <v>11.967687244440011</v>
      </c>
      <c r="S132" s="66">
        <f t="shared" si="8"/>
        <v>9</v>
      </c>
      <c r="T132" s="66">
        <f t="shared" si="9"/>
        <v>39.892290814800035</v>
      </c>
      <c r="U132" s="66">
        <f t="shared" si="10"/>
        <v>30</v>
      </c>
      <c r="V132" s="66">
        <f t="shared" si="11"/>
        <v>9</v>
      </c>
    </row>
    <row r="133" spans="2:23" hidden="1" x14ac:dyDescent="0.25">
      <c r="B133" s="97" t="str">
        <f>+Ruta!B133</f>
        <v>SI</v>
      </c>
      <c r="C133" s="97">
        <f>+Ruta!C133</f>
        <v>130</v>
      </c>
      <c r="D133" s="97" t="str">
        <f>+Ruta!D133</f>
        <v>Tuluá</v>
      </c>
      <c r="E133" s="97" t="str">
        <f>+Ruta!E133</f>
        <v xml:space="preserve">Mayorista </v>
      </c>
      <c r="F133" s="97" t="str">
        <f>+Ruta!F133</f>
        <v>Lina Colonia</v>
      </c>
      <c r="G133" s="97" t="str">
        <f>+Ruta!G133</f>
        <v>Distri Jota SAS</v>
      </c>
      <c r="H133" s="97" t="str">
        <f>+Ruta!H133</f>
        <v>(2) 224 9488</v>
      </c>
      <c r="I133" s="97" t="str">
        <f>+Ruta!I133</f>
        <v xml:space="preserve">Marques 3años Botella + Can Agte </v>
      </c>
      <c r="J133" s="97" t="str">
        <f>+Ruta!J133</f>
        <v>Calle 29 # 22-23</v>
      </c>
      <c r="K133" s="97">
        <f>+Ruta!K133</f>
        <v>0</v>
      </c>
      <c r="L133" s="78"/>
      <c r="M133" s="78">
        <f>+Ruta!R133</f>
        <v>80</v>
      </c>
      <c r="N133" s="96">
        <v>2.6594860543200025E-3</v>
      </c>
      <c r="O133" s="66">
        <f t="shared" ref="O133:O169" si="12">+O$3*N133</f>
        <v>2.6594860543200025</v>
      </c>
      <c r="P133" s="67">
        <v>3.0395136778115504</v>
      </c>
      <c r="Q133" s="66">
        <v>3.0395136778115504</v>
      </c>
      <c r="R133" s="66">
        <f t="shared" ref="R133:R164" si="13">+R$3*N133</f>
        <v>7.9784581629600071</v>
      </c>
      <c r="S133" s="66">
        <f t="shared" ref="S133:S164" si="14">+P133*3</f>
        <v>9.1185410334346511</v>
      </c>
      <c r="T133" s="66">
        <f t="shared" ref="T133:T170" si="15">+T$3*N133</f>
        <v>26.594860543200024</v>
      </c>
      <c r="U133" s="66">
        <f>+Q133*10</f>
        <v>30.395136778115504</v>
      </c>
      <c r="V133" s="66">
        <f t="shared" ref="V133:V165" si="16">+S133</f>
        <v>9.1185410334346511</v>
      </c>
    </row>
    <row r="134" spans="2:23" hidden="1" x14ac:dyDescent="0.25">
      <c r="B134" s="97" t="str">
        <f>+Ruta!B134</f>
        <v>SI</v>
      </c>
      <c r="C134" s="97">
        <f>+Ruta!C134</f>
        <v>131</v>
      </c>
      <c r="D134" s="97" t="str">
        <f>+Ruta!D134</f>
        <v>Tuluá</v>
      </c>
      <c r="E134" s="97" t="str">
        <f>+Ruta!E134</f>
        <v xml:space="preserve">Mayorista </v>
      </c>
      <c r="F134" s="97" t="str">
        <f>+Ruta!F134</f>
        <v>Lina Colonia</v>
      </c>
      <c r="G134" s="97" t="str">
        <f>+Ruta!G134</f>
        <v>Depósito La Ganga</v>
      </c>
      <c r="H134" s="97" t="str">
        <f>+Ruta!H134</f>
        <v>(2) 225 7742</v>
      </c>
      <c r="I134" s="97" t="str">
        <f>+Ruta!I134</f>
        <v xml:space="preserve">Marques 3años Botella + Can Agte </v>
      </c>
      <c r="J134" s="97" t="str">
        <f>+Ruta!J134</f>
        <v>Carrera 22 # 28 - 49</v>
      </c>
      <c r="K134" s="97">
        <f>+Ruta!K134</f>
        <v>0</v>
      </c>
      <c r="L134" s="78">
        <f>8*12</f>
        <v>96</v>
      </c>
      <c r="M134" s="78">
        <f>+Ruta!R134</f>
        <v>270</v>
      </c>
      <c r="N134" s="96">
        <v>8.9757654333300092E-3</v>
      </c>
      <c r="O134" s="66">
        <f t="shared" si="12"/>
        <v>8.9757654333300092</v>
      </c>
      <c r="P134" s="67">
        <v>8.9397461112104413</v>
      </c>
      <c r="Q134" s="66">
        <v>8.9397461112104413</v>
      </c>
      <c r="R134" s="66">
        <f t="shared" si="13"/>
        <v>26.927296299990026</v>
      </c>
      <c r="S134" s="66">
        <f t="shared" si="14"/>
        <v>26.819238333631326</v>
      </c>
      <c r="T134" s="66">
        <f t="shared" si="15"/>
        <v>89.757654333300096</v>
      </c>
      <c r="U134" s="66">
        <v>90</v>
      </c>
      <c r="V134" s="66">
        <f t="shared" si="16"/>
        <v>26.819238333631326</v>
      </c>
    </row>
    <row r="135" spans="2:23" hidden="1" x14ac:dyDescent="0.25">
      <c r="B135" s="97" t="str">
        <f>+Ruta!B135</f>
        <v>SI</v>
      </c>
      <c r="C135" s="97">
        <f>+Ruta!C135</f>
        <v>132</v>
      </c>
      <c r="D135" s="97" t="str">
        <f>+Ruta!D135</f>
        <v>Tuluá</v>
      </c>
      <c r="E135" s="97" t="str">
        <f>+Ruta!E135</f>
        <v xml:space="preserve">Mayorista </v>
      </c>
      <c r="F135" s="97" t="str">
        <f>+Ruta!F135</f>
        <v>Lina Colonia</v>
      </c>
      <c r="G135" s="97" t="str">
        <f>+Ruta!G135</f>
        <v xml:space="preserve">Cacharrería yDist. JM </v>
      </c>
      <c r="H135" s="97" t="str">
        <f>+Ruta!H135</f>
        <v>318 369 2722</v>
      </c>
      <c r="I135" s="97" t="str">
        <f>+Ruta!I135</f>
        <v xml:space="preserve">Marques 3años Botella + Can Agte </v>
      </c>
      <c r="J135" s="97">
        <f>+Ruta!J135</f>
        <v>0</v>
      </c>
      <c r="K135" s="97">
        <f>+Ruta!K135</f>
        <v>0</v>
      </c>
      <c r="L135" s="78"/>
      <c r="M135" s="78">
        <f>+Ruta!R135</f>
        <v>36</v>
      </c>
      <c r="N135" s="96">
        <v>1.1967687244440013E-3</v>
      </c>
      <c r="O135" s="66">
        <f t="shared" si="12"/>
        <v>1.1967687244440013</v>
      </c>
      <c r="P135" s="67">
        <v>3</v>
      </c>
      <c r="Q135" s="66">
        <v>3</v>
      </c>
      <c r="R135" s="66">
        <f t="shared" si="13"/>
        <v>3.5903061733320039</v>
      </c>
      <c r="S135" s="66">
        <f t="shared" si="14"/>
        <v>9</v>
      </c>
      <c r="T135" s="66">
        <f t="shared" si="15"/>
        <v>11.967687244440013</v>
      </c>
      <c r="U135" s="66">
        <f>+Q135*10</f>
        <v>30</v>
      </c>
      <c r="V135" s="66">
        <f t="shared" si="16"/>
        <v>9</v>
      </c>
    </row>
    <row r="136" spans="2:23" hidden="1" x14ac:dyDescent="0.25">
      <c r="B136" s="97" t="str">
        <f>+Ruta!B136</f>
        <v>SI</v>
      </c>
      <c r="C136" s="97">
        <f>+Ruta!C136</f>
        <v>133</v>
      </c>
      <c r="D136" s="97" t="str">
        <f>+Ruta!D136</f>
        <v>Tuluá</v>
      </c>
      <c r="E136" s="97" t="str">
        <f>+Ruta!E136</f>
        <v xml:space="preserve">Mayorista </v>
      </c>
      <c r="F136" s="97" t="str">
        <f>+Ruta!F136</f>
        <v>Lina Colonia</v>
      </c>
      <c r="G136" s="97" t="str">
        <f>+Ruta!G136</f>
        <v>Almacén Ossa</v>
      </c>
      <c r="H136" s="97" t="str">
        <f>+Ruta!H136</f>
        <v>317 513 4129</v>
      </c>
      <c r="I136" s="97" t="str">
        <f>+Ruta!I136</f>
        <v xml:space="preserve">Marques 3años Botella + Can Agte </v>
      </c>
      <c r="J136" s="97" t="str">
        <f>+Ruta!J136</f>
        <v>Carrera 22 # 29A - 04</v>
      </c>
      <c r="K136" s="97">
        <f>+Ruta!K136</f>
        <v>0</v>
      </c>
      <c r="L136" s="78"/>
      <c r="M136" s="78">
        <f>+Ruta!R136</f>
        <v>170</v>
      </c>
      <c r="N136" s="96">
        <v>5.6514078654300052E-3</v>
      </c>
      <c r="O136" s="66">
        <f t="shared" si="12"/>
        <v>5.6514078654300048</v>
      </c>
      <c r="P136" s="67">
        <v>6.4366172000715176</v>
      </c>
      <c r="Q136" s="66">
        <v>6.4366172000715176</v>
      </c>
      <c r="R136" s="66">
        <f t="shared" si="13"/>
        <v>16.954223596290017</v>
      </c>
      <c r="S136" s="66">
        <v>15</v>
      </c>
      <c r="T136" s="66">
        <f t="shared" si="15"/>
        <v>56.51407865430005</v>
      </c>
      <c r="U136" s="66">
        <v>55</v>
      </c>
      <c r="V136" s="66">
        <f t="shared" si="16"/>
        <v>15</v>
      </c>
    </row>
    <row r="137" spans="2:23" x14ac:dyDescent="0.25">
      <c r="B137" s="97" t="str">
        <f>+Ruta!B137</f>
        <v>NO</v>
      </c>
      <c r="C137" s="97">
        <f>+Ruta!C137</f>
        <v>134</v>
      </c>
      <c r="D137" s="97" t="str">
        <f>+Ruta!D137</f>
        <v>Buga</v>
      </c>
      <c r="E137" s="97" t="str">
        <f>+Ruta!E137</f>
        <v xml:space="preserve">Mayorista </v>
      </c>
      <c r="F137" s="97" t="str">
        <f>+Ruta!F137</f>
        <v>Lina Colonia</v>
      </c>
      <c r="G137" s="97" t="str">
        <f>+Ruta!G137</f>
        <v>Licores La Cuarta</v>
      </c>
      <c r="H137" s="97" t="str">
        <f>+Ruta!H137</f>
        <v>316 714 2019</v>
      </c>
      <c r="I137" s="97" t="str">
        <f>+Ruta!I137</f>
        <v xml:space="preserve">Marques 3años Botella + Can Agte </v>
      </c>
      <c r="J137" s="97" t="str">
        <f>+Ruta!J137</f>
        <v>Calle 4 # 6-06</v>
      </c>
      <c r="K137" s="97">
        <f>+Ruta!K137</f>
        <v>0</v>
      </c>
      <c r="L137" s="101"/>
      <c r="M137" s="78">
        <f>+Ruta!R137</f>
        <v>0</v>
      </c>
      <c r="N137" s="96">
        <v>0</v>
      </c>
      <c r="O137" s="66">
        <f t="shared" si="12"/>
        <v>0</v>
      </c>
      <c r="P137" s="67"/>
      <c r="Q137" s="66">
        <v>0</v>
      </c>
      <c r="R137" s="66">
        <f t="shared" si="13"/>
        <v>0</v>
      </c>
      <c r="S137" s="66">
        <f t="shared" si="14"/>
        <v>0</v>
      </c>
      <c r="T137" s="66">
        <f t="shared" si="15"/>
        <v>0</v>
      </c>
      <c r="U137" s="66">
        <f>+Q137*10</f>
        <v>0</v>
      </c>
      <c r="V137" s="66">
        <f t="shared" si="16"/>
        <v>0</v>
      </c>
    </row>
    <row r="138" spans="2:23" hidden="1" x14ac:dyDescent="0.25">
      <c r="B138" s="97" t="str">
        <f>+Ruta!B138</f>
        <v>SI</v>
      </c>
      <c r="C138" s="97">
        <f>+Ruta!C138</f>
        <v>135</v>
      </c>
      <c r="D138" s="97" t="str">
        <f>+Ruta!D138</f>
        <v>Restrepo</v>
      </c>
      <c r="E138" s="97" t="str">
        <f>+Ruta!E138</f>
        <v xml:space="preserve">Mayorista </v>
      </c>
      <c r="F138" s="97" t="str">
        <f>+Ruta!F138</f>
        <v>Lina Colonia</v>
      </c>
      <c r="G138" s="97" t="str">
        <f>+Ruta!G138</f>
        <v xml:space="preserve">Los Paisas  </v>
      </c>
      <c r="H138" s="97" t="str">
        <f>+Ruta!H138</f>
        <v>321 482 7231</v>
      </c>
      <c r="I138" s="97" t="str">
        <f>+Ruta!I138</f>
        <v xml:space="preserve">Marques 3años Botella + Can Agte </v>
      </c>
      <c r="J138" s="97" t="str">
        <f>+Ruta!J138</f>
        <v>Carrera 10 # 9-50 Plaza de mercado</v>
      </c>
      <c r="K138" s="97">
        <f>+Ruta!K138</f>
        <v>0</v>
      </c>
      <c r="L138" s="78"/>
      <c r="M138" s="78">
        <f>+Ruta!R138</f>
        <v>220</v>
      </c>
      <c r="N138" s="96">
        <v>7.3135866493800076E-3</v>
      </c>
      <c r="O138" s="66">
        <f t="shared" si="12"/>
        <v>7.3135866493800075</v>
      </c>
      <c r="P138" s="67">
        <v>8.5821562667620253</v>
      </c>
      <c r="Q138" s="66">
        <v>8.5821562667620253</v>
      </c>
      <c r="R138" s="66">
        <f t="shared" si="13"/>
        <v>21.940759948140023</v>
      </c>
      <c r="S138" s="66">
        <v>22</v>
      </c>
      <c r="T138" s="66">
        <f t="shared" si="15"/>
        <v>73.13586649380008</v>
      </c>
      <c r="U138" s="66">
        <v>70</v>
      </c>
      <c r="V138" s="66">
        <f t="shared" si="16"/>
        <v>22</v>
      </c>
    </row>
    <row r="139" spans="2:23" x14ac:dyDescent="0.25">
      <c r="B139" s="97" t="str">
        <f>+Ruta!B139</f>
        <v>SI</v>
      </c>
      <c r="C139" s="97">
        <f>+Ruta!C139</f>
        <v>136</v>
      </c>
      <c r="D139" s="97" t="str">
        <f>+Ruta!D139</f>
        <v>Buga</v>
      </c>
      <c r="E139" s="97" t="str">
        <f>+Ruta!E139</f>
        <v xml:space="preserve">Mayorista </v>
      </c>
      <c r="F139" s="97" t="str">
        <f>+Ruta!F139</f>
        <v>Lina Colonia</v>
      </c>
      <c r="G139" s="97" t="str">
        <f>+Ruta!G139</f>
        <v xml:space="preserve">Depóstito El Triunfo </v>
      </c>
      <c r="H139" s="97" t="str">
        <f>+Ruta!H139</f>
        <v>(2) 227 1824</v>
      </c>
      <c r="I139" s="97" t="str">
        <f>+Ruta!I139</f>
        <v xml:space="preserve">Marques 3años Botella + Can Agte </v>
      </c>
      <c r="J139" s="97" t="str">
        <f>+Ruta!J139</f>
        <v>Calle 21 # 12-59</v>
      </c>
      <c r="K139" s="97">
        <f>+Ruta!K139</f>
        <v>0</v>
      </c>
      <c r="L139" s="78"/>
      <c r="M139" s="78">
        <f>+Ruta!R139</f>
        <v>260</v>
      </c>
      <c r="N139" s="96">
        <v>8.643329676540008E-3</v>
      </c>
      <c r="O139" s="66">
        <f t="shared" si="12"/>
        <v>8.6433296765400076</v>
      </c>
      <c r="P139" s="67">
        <v>9.4403718934382255</v>
      </c>
      <c r="Q139" s="66">
        <v>9.4403718934382255</v>
      </c>
      <c r="R139" s="66">
        <f t="shared" si="13"/>
        <v>25.929989029620025</v>
      </c>
      <c r="S139" s="66">
        <f t="shared" si="14"/>
        <v>28.321115680314676</v>
      </c>
      <c r="T139" s="66">
        <f t="shared" si="15"/>
        <v>86.433296765400087</v>
      </c>
      <c r="U139" s="66">
        <v>80</v>
      </c>
      <c r="V139" s="66">
        <f t="shared" si="16"/>
        <v>28.321115680314676</v>
      </c>
      <c r="W139" s="80">
        <f>+V139/24</f>
        <v>1.1800464866797782</v>
      </c>
    </row>
    <row r="140" spans="2:23" hidden="1" x14ac:dyDescent="0.25">
      <c r="B140" s="97" t="str">
        <f>+Ruta!B140</f>
        <v>SI</v>
      </c>
      <c r="C140" s="97">
        <f>+Ruta!C140</f>
        <v>137</v>
      </c>
      <c r="D140" s="97" t="str">
        <f>+Ruta!D140</f>
        <v>Palmira</v>
      </c>
      <c r="E140" s="97" t="str">
        <f>+Ruta!E140</f>
        <v xml:space="preserve">Mayorista </v>
      </c>
      <c r="F140" s="97" t="str">
        <f>+Ruta!F140</f>
        <v>Katherine Rengifo</v>
      </c>
      <c r="G140" s="97" t="str">
        <f>+Ruta!G140</f>
        <v xml:space="preserve">Miscelanea La Unión </v>
      </c>
      <c r="H140" s="97" t="str">
        <f>+Ruta!H140</f>
        <v>3157030966 - 2836460</v>
      </c>
      <c r="I140" s="97" t="str">
        <f>+Ruta!I140</f>
        <v xml:space="preserve">Marques 3años Botella + Can Agte </v>
      </c>
      <c r="J140" s="97" t="str">
        <f>+Ruta!J140</f>
        <v>cra 25 #27-44</v>
      </c>
      <c r="K140" s="97">
        <f>+Ruta!K140</f>
        <v>0</v>
      </c>
      <c r="L140" s="101"/>
      <c r="M140" s="78">
        <f>+Ruta!R140</f>
        <v>360</v>
      </c>
      <c r="N140" s="96">
        <v>1.1967687244440013E-2</v>
      </c>
      <c r="O140" s="66">
        <f t="shared" si="12"/>
        <v>11.967687244440013</v>
      </c>
      <c r="P140" s="67"/>
      <c r="Q140" s="66">
        <v>0</v>
      </c>
      <c r="R140" s="66">
        <f t="shared" si="13"/>
        <v>35.903061733320037</v>
      </c>
      <c r="S140" s="66">
        <v>30</v>
      </c>
      <c r="T140" s="66">
        <f t="shared" si="15"/>
        <v>119.67687244440013</v>
      </c>
      <c r="U140" s="66">
        <v>100</v>
      </c>
      <c r="V140" s="66">
        <f t="shared" si="16"/>
        <v>30</v>
      </c>
    </row>
    <row r="141" spans="2:23" hidden="1" x14ac:dyDescent="0.25">
      <c r="B141" s="97" t="str">
        <f>+Ruta!B141</f>
        <v>SI</v>
      </c>
      <c r="C141" s="97">
        <f>+Ruta!C141</f>
        <v>138</v>
      </c>
      <c r="D141" s="97" t="str">
        <f>+Ruta!D141</f>
        <v>Cali</v>
      </c>
      <c r="E141" s="97" t="str">
        <f>+Ruta!E141</f>
        <v>TAT</v>
      </c>
      <c r="F141" s="97" t="str">
        <f>+Ruta!F141</f>
        <v>Ana Rosa Lopera</v>
      </c>
      <c r="G141" s="97" t="str">
        <f>+Ruta!G141</f>
        <v>Luz marina zuluaga</v>
      </c>
      <c r="H141" s="97">
        <f>+Ruta!H141</f>
        <v>3207412307</v>
      </c>
      <c r="I141" s="97" t="str">
        <f>+Ruta!I141</f>
        <v xml:space="preserve">Marques 3años Botella + Can Agte </v>
      </c>
      <c r="J141" s="97" t="str">
        <f>+Ruta!J141</f>
        <v>AV 15 OESTE # 7 03</v>
      </c>
      <c r="K141" s="97">
        <f>+Ruta!K141</f>
        <v>31523227</v>
      </c>
      <c r="L141" s="103"/>
      <c r="M141" s="78">
        <f>+Ruta!R141</f>
        <v>0</v>
      </c>
      <c r="N141" s="96">
        <v>0</v>
      </c>
      <c r="O141" s="66">
        <f t="shared" si="12"/>
        <v>0</v>
      </c>
      <c r="P141" s="67">
        <v>3</v>
      </c>
      <c r="Q141" s="66">
        <v>3</v>
      </c>
      <c r="R141" s="66">
        <f t="shared" si="13"/>
        <v>0</v>
      </c>
      <c r="S141" s="66">
        <f t="shared" si="14"/>
        <v>9</v>
      </c>
      <c r="T141" s="66">
        <f t="shared" si="15"/>
        <v>0</v>
      </c>
      <c r="U141" s="66">
        <f t="shared" ref="U141:U147" si="17">+Q141*10</f>
        <v>30</v>
      </c>
      <c r="V141" s="66">
        <f t="shared" si="16"/>
        <v>9</v>
      </c>
    </row>
    <row r="142" spans="2:23" hidden="1" x14ac:dyDescent="0.25">
      <c r="B142" s="97" t="str">
        <f>+Ruta!B142</f>
        <v>SI</v>
      </c>
      <c r="C142" s="97">
        <f>+Ruta!C142</f>
        <v>139</v>
      </c>
      <c r="D142" s="97" t="str">
        <f>+Ruta!D142</f>
        <v>Cali</v>
      </c>
      <c r="E142" s="97" t="str">
        <f>+Ruta!E142</f>
        <v>TAT</v>
      </c>
      <c r="F142" s="97" t="str">
        <f>+Ruta!F142</f>
        <v>Ana Rosa Lopera</v>
      </c>
      <c r="G142" s="97" t="str">
        <f>+Ruta!G142</f>
        <v>Ramon giraldo</v>
      </c>
      <c r="H142" s="97">
        <f>+Ruta!H142</f>
        <v>3113754878</v>
      </c>
      <c r="I142" s="97" t="str">
        <f>+Ruta!I142</f>
        <v xml:space="preserve">Marques 3años Botella + Can Agte </v>
      </c>
      <c r="J142" s="97" t="str">
        <f>+Ruta!J142</f>
        <v>CLL 12 OESTE # 39-06</v>
      </c>
      <c r="K142" s="97">
        <f>+Ruta!K142</f>
        <v>94422261</v>
      </c>
      <c r="L142" s="103"/>
      <c r="M142" s="78">
        <f>+Ruta!R142</f>
        <v>5</v>
      </c>
      <c r="N142" s="96">
        <v>1.6621787839500015E-4</v>
      </c>
      <c r="O142" s="66">
        <f t="shared" si="12"/>
        <v>0.16621787839500016</v>
      </c>
      <c r="P142" s="67">
        <v>3</v>
      </c>
      <c r="Q142" s="66">
        <v>3</v>
      </c>
      <c r="R142" s="66">
        <f t="shared" si="13"/>
        <v>0.49865363518500044</v>
      </c>
      <c r="S142" s="66">
        <f t="shared" si="14"/>
        <v>9</v>
      </c>
      <c r="T142" s="66">
        <f t="shared" si="15"/>
        <v>1.6621787839500015</v>
      </c>
      <c r="U142" s="66">
        <f t="shared" si="17"/>
        <v>30</v>
      </c>
      <c r="V142" s="66">
        <f t="shared" si="16"/>
        <v>9</v>
      </c>
    </row>
    <row r="143" spans="2:23" hidden="1" x14ac:dyDescent="0.25">
      <c r="B143" s="97" t="str">
        <f>+Ruta!B143</f>
        <v>NO</v>
      </c>
      <c r="C143" s="97">
        <f>+Ruta!C143</f>
        <v>140</v>
      </c>
      <c r="D143" s="97" t="str">
        <f>+Ruta!D143</f>
        <v>Cali</v>
      </c>
      <c r="E143" s="97" t="str">
        <f>+Ruta!E143</f>
        <v>TAT</v>
      </c>
      <c r="F143" s="97" t="str">
        <f>+Ruta!F143</f>
        <v>Ana Rosa Lopera</v>
      </c>
      <c r="G143" s="97" t="str">
        <f>+Ruta!G143</f>
        <v>Victor mosquera</v>
      </c>
      <c r="H143" s="97">
        <f>+Ruta!H143</f>
        <v>6622328</v>
      </c>
      <c r="I143" s="97" t="str">
        <f>+Ruta!I143</f>
        <v xml:space="preserve">Marques 3años Botella + Can Agte </v>
      </c>
      <c r="J143" s="97" t="str">
        <f>+Ruta!J143</f>
        <v>CL 72A # 7B BIS 09</v>
      </c>
      <c r="K143" s="97">
        <f>+Ruta!K143</f>
        <v>166659803</v>
      </c>
      <c r="L143" s="103"/>
      <c r="M143" s="78">
        <f>+Ruta!R143</f>
        <v>6</v>
      </c>
      <c r="N143" s="96">
        <v>1.994614540740002E-4</v>
      </c>
      <c r="O143" s="66">
        <f t="shared" si="12"/>
        <v>0.19946145407400021</v>
      </c>
      <c r="P143" s="67">
        <v>3</v>
      </c>
      <c r="Q143" s="66">
        <v>3</v>
      </c>
      <c r="R143" s="66">
        <f t="shared" si="13"/>
        <v>0.59838436222200053</v>
      </c>
      <c r="S143" s="66">
        <f t="shared" si="14"/>
        <v>9</v>
      </c>
      <c r="T143" s="66">
        <f t="shared" si="15"/>
        <v>1.994614540740002</v>
      </c>
      <c r="U143" s="66">
        <f t="shared" si="17"/>
        <v>30</v>
      </c>
      <c r="V143" s="66">
        <f t="shared" si="16"/>
        <v>9</v>
      </c>
    </row>
    <row r="144" spans="2:23" hidden="1" x14ac:dyDescent="0.25">
      <c r="B144" s="97" t="str">
        <f>+Ruta!B144</f>
        <v>SI</v>
      </c>
      <c r="C144" s="97">
        <f>+Ruta!C144</f>
        <v>141</v>
      </c>
      <c r="D144" s="97" t="str">
        <f>+Ruta!D144</f>
        <v>Cali</v>
      </c>
      <c r="E144" s="97" t="str">
        <f>+Ruta!E144</f>
        <v>TAT</v>
      </c>
      <c r="F144" s="97" t="str">
        <f>+Ruta!F144</f>
        <v>Ana Rosa Lopera</v>
      </c>
      <c r="G144" s="97" t="str">
        <f>+Ruta!G144</f>
        <v>Doly hortencia</v>
      </c>
      <c r="H144" s="97">
        <f>+Ruta!H144</f>
        <v>5514843</v>
      </c>
      <c r="I144" s="97" t="str">
        <f>+Ruta!I144</f>
        <v xml:space="preserve">Marques 3años Botella + Can Agte </v>
      </c>
      <c r="J144" s="97" t="str">
        <f>+Ruta!J144</f>
        <v>CR 40A # 9C 20</v>
      </c>
      <c r="K144" s="97">
        <f>+Ruta!K144</f>
        <v>66814208</v>
      </c>
      <c r="L144" s="103"/>
      <c r="M144" s="78">
        <f>+Ruta!R144</f>
        <v>7</v>
      </c>
      <c r="N144" s="96">
        <v>2.3270502975300024E-4</v>
      </c>
      <c r="O144" s="66">
        <f t="shared" si="12"/>
        <v>0.23270502975300023</v>
      </c>
      <c r="P144" s="67">
        <v>3</v>
      </c>
      <c r="Q144" s="66">
        <v>3</v>
      </c>
      <c r="R144" s="66">
        <f t="shared" si="13"/>
        <v>0.69811508925900068</v>
      </c>
      <c r="S144" s="66">
        <f t="shared" si="14"/>
        <v>9</v>
      </c>
      <c r="T144" s="66">
        <f t="shared" si="15"/>
        <v>2.3270502975300023</v>
      </c>
      <c r="U144" s="66">
        <f t="shared" si="17"/>
        <v>30</v>
      </c>
      <c r="V144" s="66">
        <f t="shared" si="16"/>
        <v>9</v>
      </c>
    </row>
    <row r="145" spans="2:22" hidden="1" x14ac:dyDescent="0.25">
      <c r="B145" s="97" t="str">
        <f>+Ruta!B145</f>
        <v>SI</v>
      </c>
      <c r="C145" s="97">
        <f>+Ruta!C145</f>
        <v>142</v>
      </c>
      <c r="D145" s="97" t="str">
        <f>+Ruta!D145</f>
        <v>Cali</v>
      </c>
      <c r="E145" s="97" t="str">
        <f>+Ruta!E145</f>
        <v>TAT</v>
      </c>
      <c r="F145" s="97" t="str">
        <f>+Ruta!F145</f>
        <v>Ana Rosa Lopera</v>
      </c>
      <c r="G145" s="97" t="str">
        <f>+Ruta!G145</f>
        <v>Jonny salazar giraldo</v>
      </c>
      <c r="H145" s="97">
        <f>+Ruta!H145</f>
        <v>3117636936</v>
      </c>
      <c r="I145" s="97" t="str">
        <f>+Ruta!I145</f>
        <v xml:space="preserve">Marques 3años Botella + Can Agte </v>
      </c>
      <c r="J145" s="97" t="str">
        <f>+Ruta!J145</f>
        <v>CLL 13 # 47 04</v>
      </c>
      <c r="K145" s="97">
        <f>+Ruta!K145</f>
        <v>1038405574</v>
      </c>
      <c r="L145" s="103"/>
      <c r="M145" s="78">
        <f>+Ruta!R145</f>
        <v>3</v>
      </c>
      <c r="N145" s="96">
        <v>9.9730727037000098E-5</v>
      </c>
      <c r="O145" s="66">
        <f t="shared" si="12"/>
        <v>9.9730727037000103E-2</v>
      </c>
      <c r="P145" s="67">
        <v>3</v>
      </c>
      <c r="Q145" s="66">
        <v>3</v>
      </c>
      <c r="R145" s="66">
        <f t="shared" si="13"/>
        <v>0.29919218111100027</v>
      </c>
      <c r="S145" s="66">
        <f t="shared" si="14"/>
        <v>9</v>
      </c>
      <c r="T145" s="66">
        <f t="shared" si="15"/>
        <v>0.997307270370001</v>
      </c>
      <c r="U145" s="66">
        <f t="shared" si="17"/>
        <v>30</v>
      </c>
      <c r="V145" s="66">
        <f t="shared" si="16"/>
        <v>9</v>
      </c>
    </row>
    <row r="146" spans="2:22" hidden="1" x14ac:dyDescent="0.25">
      <c r="B146" s="97" t="str">
        <f>+Ruta!B146</f>
        <v>SI</v>
      </c>
      <c r="C146" s="97">
        <f>+Ruta!C146</f>
        <v>143</v>
      </c>
      <c r="D146" s="97" t="str">
        <f>+Ruta!D146</f>
        <v>Cali</v>
      </c>
      <c r="E146" s="97" t="str">
        <f>+Ruta!E146</f>
        <v>TAT</v>
      </c>
      <c r="F146" s="97" t="str">
        <f>+Ruta!F146</f>
        <v>Ana Rosa Lopera</v>
      </c>
      <c r="G146" s="97" t="str">
        <f>+Ruta!G146</f>
        <v>Carlos alberto lopez</v>
      </c>
      <c r="H146" s="97">
        <f>+Ruta!H146</f>
        <v>5531616</v>
      </c>
      <c r="I146" s="97" t="str">
        <f>+Ruta!I146</f>
        <v xml:space="preserve">Marques 3años Botella + Can Agte </v>
      </c>
      <c r="J146" s="97" t="str">
        <f>+Ruta!J146</f>
        <v>CR 47A # 10-83</v>
      </c>
      <c r="K146" s="97">
        <f>+Ruta!K146</f>
        <v>15429690</v>
      </c>
      <c r="L146" s="103"/>
      <c r="M146" s="78">
        <f>+Ruta!R146</f>
        <v>7</v>
      </c>
      <c r="N146" s="96">
        <v>2.3270502975300024E-4</v>
      </c>
      <c r="O146" s="66">
        <f t="shared" si="12"/>
        <v>0.23270502975300023</v>
      </c>
      <c r="P146" s="67">
        <v>3</v>
      </c>
      <c r="Q146" s="66">
        <v>3</v>
      </c>
      <c r="R146" s="66">
        <f t="shared" si="13"/>
        <v>0.69811508925900068</v>
      </c>
      <c r="S146" s="66">
        <f t="shared" si="14"/>
        <v>9</v>
      </c>
      <c r="T146" s="66">
        <f t="shared" si="15"/>
        <v>2.3270502975300023</v>
      </c>
      <c r="U146" s="66">
        <f t="shared" si="17"/>
        <v>30</v>
      </c>
      <c r="V146" s="66">
        <f t="shared" si="16"/>
        <v>9</v>
      </c>
    </row>
    <row r="147" spans="2:22" hidden="1" x14ac:dyDescent="0.25">
      <c r="B147" s="97" t="str">
        <f>+Ruta!B147</f>
        <v>SI</v>
      </c>
      <c r="C147" s="97">
        <f>+Ruta!C147</f>
        <v>144</v>
      </c>
      <c r="D147" s="97" t="str">
        <f>+Ruta!D147</f>
        <v>Cali</v>
      </c>
      <c r="E147" s="97" t="str">
        <f>+Ruta!E147</f>
        <v>TAT</v>
      </c>
      <c r="F147" s="97" t="str">
        <f>+Ruta!F147</f>
        <v>Ana Rosa Lopera</v>
      </c>
      <c r="G147" s="97" t="str">
        <f>+Ruta!G147</f>
        <v>Yakeline ospina</v>
      </c>
      <c r="H147" s="97">
        <f>+Ruta!H147</f>
        <v>3053624703</v>
      </c>
      <c r="I147" s="97" t="str">
        <f>+Ruta!I147</f>
        <v xml:space="preserve">Marques 3años Botella + Can Agte </v>
      </c>
      <c r="J147" s="97" t="str">
        <f>+Ruta!J147</f>
        <v>CLL 52A # 29B 17</v>
      </c>
      <c r="K147" s="97">
        <f>+Ruta!K147</f>
        <v>1144176021</v>
      </c>
      <c r="L147" s="103"/>
      <c r="M147" s="78">
        <f>+Ruta!R147</f>
        <v>0</v>
      </c>
      <c r="N147" s="96">
        <v>0</v>
      </c>
      <c r="O147" s="66">
        <f t="shared" si="12"/>
        <v>0</v>
      </c>
      <c r="P147" s="67">
        <v>3</v>
      </c>
      <c r="Q147" s="66">
        <v>3</v>
      </c>
      <c r="R147" s="66">
        <f t="shared" si="13"/>
        <v>0</v>
      </c>
      <c r="S147" s="66">
        <f t="shared" si="14"/>
        <v>9</v>
      </c>
      <c r="T147" s="66">
        <f t="shared" si="15"/>
        <v>0</v>
      </c>
      <c r="U147" s="66">
        <f t="shared" si="17"/>
        <v>30</v>
      </c>
      <c r="V147" s="66">
        <f t="shared" si="16"/>
        <v>9</v>
      </c>
    </row>
    <row r="148" spans="2:22" hidden="1" x14ac:dyDescent="0.25">
      <c r="B148" s="97" t="str">
        <f>+Ruta!B148</f>
        <v>SI</v>
      </c>
      <c r="C148" s="97">
        <f>+Ruta!C148</f>
        <v>145</v>
      </c>
      <c r="D148" s="97" t="str">
        <f>+Ruta!D148</f>
        <v>Cali</v>
      </c>
      <c r="E148" s="97" t="str">
        <f>+Ruta!E148</f>
        <v>TAT</v>
      </c>
      <c r="F148" s="97" t="str">
        <f>+Ruta!F148</f>
        <v>Ana Rosa Lopera</v>
      </c>
      <c r="G148" s="97" t="str">
        <f>+Ruta!G148</f>
        <v>Jaime ocampo valencia</v>
      </c>
      <c r="H148" s="97">
        <f>+Ruta!H148</f>
        <v>3103953082</v>
      </c>
      <c r="I148" s="97" t="str">
        <f>+Ruta!I148</f>
        <v xml:space="preserve">Marques 3años Botella + Can Agte </v>
      </c>
      <c r="J148" s="97" t="str">
        <f>+Ruta!J148</f>
        <v>CLL 51 # 29A 118</v>
      </c>
      <c r="K148" s="97">
        <f>+Ruta!K148</f>
        <v>1058844991</v>
      </c>
      <c r="L148" s="103"/>
      <c r="M148" s="78">
        <f>+Ruta!R148</f>
        <v>7</v>
      </c>
      <c r="N148" s="96">
        <v>2.3270502975300024E-4</v>
      </c>
      <c r="O148" s="66">
        <f t="shared" si="12"/>
        <v>0.23270502975300023</v>
      </c>
      <c r="P148" s="67">
        <v>11</v>
      </c>
      <c r="Q148" s="66">
        <v>11</v>
      </c>
      <c r="R148" s="66">
        <f t="shared" si="13"/>
        <v>0.69811508925900068</v>
      </c>
      <c r="S148" s="66">
        <v>9</v>
      </c>
      <c r="T148" s="66">
        <f t="shared" si="15"/>
        <v>2.3270502975300023</v>
      </c>
      <c r="U148" s="66">
        <v>30</v>
      </c>
      <c r="V148" s="66">
        <f t="shared" si="16"/>
        <v>9</v>
      </c>
    </row>
    <row r="149" spans="2:22" hidden="1" x14ac:dyDescent="0.25">
      <c r="B149" s="97" t="str">
        <f>+Ruta!B149</f>
        <v>SI</v>
      </c>
      <c r="C149" s="97">
        <f>+Ruta!C149</f>
        <v>146</v>
      </c>
      <c r="D149" s="97" t="str">
        <f>+Ruta!D149</f>
        <v>Cali</v>
      </c>
      <c r="E149" s="97" t="str">
        <f>+Ruta!E149</f>
        <v>TAT</v>
      </c>
      <c r="F149" s="97" t="str">
        <f>+Ruta!F149</f>
        <v>Ana Rosa Lopera</v>
      </c>
      <c r="G149" s="97" t="str">
        <f>+Ruta!G149</f>
        <v>Jesus antonio barles</v>
      </c>
      <c r="H149" s="97">
        <f>+Ruta!H149</f>
        <v>3931110</v>
      </c>
      <c r="I149" s="97" t="str">
        <f>+Ruta!I149</f>
        <v xml:space="preserve">Marques 3años Botella + Can Agte </v>
      </c>
      <c r="J149" s="97" t="str">
        <f>+Ruta!J149</f>
        <v>CR 32A # 51A 20</v>
      </c>
      <c r="K149" s="97">
        <f>+Ruta!K149</f>
        <v>3493913</v>
      </c>
      <c r="L149" s="103"/>
      <c r="M149" s="78">
        <f>+Ruta!R149</f>
        <v>3</v>
      </c>
      <c r="N149" s="96">
        <v>9.9730727037000098E-5</v>
      </c>
      <c r="O149" s="66">
        <f t="shared" si="12"/>
        <v>9.9730727037000103E-2</v>
      </c>
      <c r="P149" s="67">
        <v>3</v>
      </c>
      <c r="Q149" s="66">
        <v>3</v>
      </c>
      <c r="R149" s="66">
        <f t="shared" si="13"/>
        <v>0.29919218111100027</v>
      </c>
      <c r="S149" s="66">
        <f t="shared" si="14"/>
        <v>9</v>
      </c>
      <c r="T149" s="66">
        <f t="shared" si="15"/>
        <v>0.997307270370001</v>
      </c>
      <c r="U149" s="66">
        <f t="shared" ref="U149:U160" si="18">+Q149*10</f>
        <v>30</v>
      </c>
      <c r="V149" s="66">
        <f t="shared" si="16"/>
        <v>9</v>
      </c>
    </row>
    <row r="150" spans="2:22" hidden="1" x14ac:dyDescent="0.25">
      <c r="B150" s="97" t="str">
        <f>+Ruta!B150</f>
        <v>SI</v>
      </c>
      <c r="C150" s="97">
        <f>+Ruta!C150</f>
        <v>147</v>
      </c>
      <c r="D150" s="97" t="str">
        <f>+Ruta!D150</f>
        <v>Cali</v>
      </c>
      <c r="E150" s="97" t="str">
        <f>+Ruta!E150</f>
        <v>TAT</v>
      </c>
      <c r="F150" s="97" t="str">
        <f>+Ruta!F150</f>
        <v>Ana Rosa Lopera</v>
      </c>
      <c r="G150" s="97" t="str">
        <f>+Ruta!G150</f>
        <v>Ciro solis</v>
      </c>
      <c r="H150" s="97">
        <f>+Ruta!H150</f>
        <v>3217534183</v>
      </c>
      <c r="I150" s="97" t="str">
        <f>+Ruta!I150</f>
        <v xml:space="preserve">Marques 3años Botella + Can Agte </v>
      </c>
      <c r="J150" s="97" t="str">
        <f>+Ruta!J150</f>
        <v>CR 29B # 46 00</v>
      </c>
      <c r="K150" s="97">
        <f>+Ruta!K150</f>
        <v>1144137846</v>
      </c>
      <c r="L150" s="103"/>
      <c r="M150" s="78">
        <f>+Ruta!R150</f>
        <v>3</v>
      </c>
      <c r="N150" s="96">
        <v>9.9730727037000098E-5</v>
      </c>
      <c r="O150" s="66">
        <f t="shared" si="12"/>
        <v>9.9730727037000103E-2</v>
      </c>
      <c r="P150" s="67">
        <v>3</v>
      </c>
      <c r="Q150" s="66">
        <v>3</v>
      </c>
      <c r="R150" s="66">
        <f t="shared" si="13"/>
        <v>0.29919218111100027</v>
      </c>
      <c r="S150" s="66">
        <f t="shared" si="14"/>
        <v>9</v>
      </c>
      <c r="T150" s="66">
        <f t="shared" si="15"/>
        <v>0.997307270370001</v>
      </c>
      <c r="U150" s="66">
        <f t="shared" si="18"/>
        <v>30</v>
      </c>
      <c r="V150" s="66">
        <f t="shared" si="16"/>
        <v>9</v>
      </c>
    </row>
    <row r="151" spans="2:22" hidden="1" x14ac:dyDescent="0.25">
      <c r="B151" s="97" t="str">
        <f>+Ruta!B151</f>
        <v>SI</v>
      </c>
      <c r="C151" s="97">
        <f>+Ruta!C151</f>
        <v>148</v>
      </c>
      <c r="D151" s="97" t="str">
        <f>+Ruta!D151</f>
        <v>Cali</v>
      </c>
      <c r="E151" s="97" t="str">
        <f>+Ruta!E151</f>
        <v>TAT</v>
      </c>
      <c r="F151" s="97" t="str">
        <f>+Ruta!F151</f>
        <v>Ana Rosa Lopera</v>
      </c>
      <c r="G151" s="97" t="str">
        <f>+Ruta!G151</f>
        <v>Jaime jaramillo</v>
      </c>
      <c r="H151" s="97">
        <f>+Ruta!H151</f>
        <v>3146940159</v>
      </c>
      <c r="I151" s="97" t="str">
        <f>+Ruta!I151</f>
        <v xml:space="preserve">Marques 3años Botella + Can Agte </v>
      </c>
      <c r="J151" s="97" t="str">
        <f>+Ruta!J151</f>
        <v>CR 29 B # 40 99</v>
      </c>
      <c r="K151" s="97">
        <f>+Ruta!K151</f>
        <v>1107514677</v>
      </c>
      <c r="L151" s="103"/>
      <c r="M151" s="78">
        <f>+Ruta!R151</f>
        <v>3</v>
      </c>
      <c r="N151" s="96">
        <v>9.9730727037000098E-5</v>
      </c>
      <c r="O151" s="66">
        <f t="shared" si="12"/>
        <v>9.9730727037000103E-2</v>
      </c>
      <c r="P151" s="67">
        <v>3</v>
      </c>
      <c r="Q151" s="66">
        <v>3</v>
      </c>
      <c r="R151" s="66">
        <f t="shared" si="13"/>
        <v>0.29919218111100027</v>
      </c>
      <c r="S151" s="66">
        <f t="shared" si="14"/>
        <v>9</v>
      </c>
      <c r="T151" s="66">
        <f t="shared" si="15"/>
        <v>0.997307270370001</v>
      </c>
      <c r="U151" s="66">
        <f t="shared" si="18"/>
        <v>30</v>
      </c>
      <c r="V151" s="66">
        <f t="shared" si="16"/>
        <v>9</v>
      </c>
    </row>
    <row r="152" spans="2:22" hidden="1" x14ac:dyDescent="0.25">
      <c r="B152" s="97" t="str">
        <f>+Ruta!B152</f>
        <v>SI</v>
      </c>
      <c r="C152" s="97">
        <f>+Ruta!C152</f>
        <v>149</v>
      </c>
      <c r="D152" s="97" t="str">
        <f>+Ruta!D152</f>
        <v>Cali</v>
      </c>
      <c r="E152" s="97" t="str">
        <f>+Ruta!E152</f>
        <v>TAT</v>
      </c>
      <c r="F152" s="97" t="str">
        <f>+Ruta!F152</f>
        <v>Ana Rosa Lopera</v>
      </c>
      <c r="G152" s="97" t="str">
        <f>+Ruta!G152</f>
        <v>Carlos alberto lopez</v>
      </c>
      <c r="H152" s="97">
        <f>+Ruta!H152</f>
        <v>3137671699</v>
      </c>
      <c r="I152" s="97" t="str">
        <f>+Ruta!I152</f>
        <v xml:space="preserve">Marques 3años Botella + Can Agte </v>
      </c>
      <c r="J152" s="97" t="str">
        <f>+Ruta!J152</f>
        <v>CLL 49# 8A 23</v>
      </c>
      <c r="K152" s="97">
        <f>+Ruta!K152</f>
        <v>16681943</v>
      </c>
      <c r="L152" s="103"/>
      <c r="M152" s="78">
        <f>+Ruta!R152</f>
        <v>3</v>
      </c>
      <c r="N152" s="96">
        <v>9.9730727037000098E-5</v>
      </c>
      <c r="O152" s="66">
        <f t="shared" si="12"/>
        <v>9.9730727037000103E-2</v>
      </c>
      <c r="P152" s="67">
        <v>3</v>
      </c>
      <c r="Q152" s="66">
        <v>3</v>
      </c>
      <c r="R152" s="66">
        <f t="shared" si="13"/>
        <v>0.29919218111100027</v>
      </c>
      <c r="S152" s="66">
        <f t="shared" si="14"/>
        <v>9</v>
      </c>
      <c r="T152" s="66">
        <f t="shared" si="15"/>
        <v>0.997307270370001</v>
      </c>
      <c r="U152" s="66">
        <f t="shared" si="18"/>
        <v>30</v>
      </c>
      <c r="V152" s="66">
        <f t="shared" si="16"/>
        <v>9</v>
      </c>
    </row>
    <row r="153" spans="2:22" hidden="1" x14ac:dyDescent="0.25">
      <c r="B153" s="97" t="str">
        <f>+Ruta!B153</f>
        <v>SI</v>
      </c>
      <c r="C153" s="97">
        <f>+Ruta!C153</f>
        <v>150</v>
      </c>
      <c r="D153" s="97" t="str">
        <f>+Ruta!D153</f>
        <v>Cali</v>
      </c>
      <c r="E153" s="97" t="str">
        <f>+Ruta!E153</f>
        <v>TAT</v>
      </c>
      <c r="F153" s="97" t="str">
        <f>+Ruta!F153</f>
        <v>Ana Rosa Lopera</v>
      </c>
      <c r="G153" s="97" t="str">
        <f>+Ruta!G153</f>
        <v>Olga pelaez</v>
      </c>
      <c r="H153" s="97">
        <f>+Ruta!H153</f>
        <v>4337053</v>
      </c>
      <c r="I153" s="97" t="str">
        <f>+Ruta!I153</f>
        <v xml:space="preserve">Marques 3años Botella + Can Agte </v>
      </c>
      <c r="J153" s="97" t="str">
        <f>+Ruta!J153</f>
        <v>CLL 71C # 3BN 70</v>
      </c>
      <c r="K153" s="97">
        <f>+Ruta!K153</f>
        <v>29185357</v>
      </c>
      <c r="L153" s="103"/>
      <c r="M153" s="78">
        <f>+Ruta!R153</f>
        <v>0</v>
      </c>
      <c r="N153" s="96">
        <v>0</v>
      </c>
      <c r="O153" s="66">
        <f t="shared" si="12"/>
        <v>0</v>
      </c>
      <c r="P153" s="67">
        <v>3</v>
      </c>
      <c r="Q153" s="66">
        <v>3</v>
      </c>
      <c r="R153" s="66">
        <f t="shared" si="13"/>
        <v>0</v>
      </c>
      <c r="S153" s="66">
        <f t="shared" si="14"/>
        <v>9</v>
      </c>
      <c r="T153" s="66">
        <f t="shared" si="15"/>
        <v>0</v>
      </c>
      <c r="U153" s="66">
        <f t="shared" si="18"/>
        <v>30</v>
      </c>
      <c r="V153" s="66">
        <f t="shared" si="16"/>
        <v>9</v>
      </c>
    </row>
    <row r="154" spans="2:22" hidden="1" x14ac:dyDescent="0.25">
      <c r="B154" s="97" t="str">
        <f>+Ruta!B154</f>
        <v>SI</v>
      </c>
      <c r="C154" s="97">
        <f>+Ruta!C154</f>
        <v>151</v>
      </c>
      <c r="D154" s="97" t="str">
        <f>+Ruta!D154</f>
        <v>Cali</v>
      </c>
      <c r="E154" s="97" t="str">
        <f>+Ruta!E154</f>
        <v>TAT</v>
      </c>
      <c r="F154" s="97" t="str">
        <f>+Ruta!F154</f>
        <v>Ana Rosa Lopera</v>
      </c>
      <c r="G154" s="97" t="str">
        <f>+Ruta!G154</f>
        <v>Alba nora</v>
      </c>
      <c r="H154" s="97">
        <f>+Ruta!H154</f>
        <v>3207552888</v>
      </c>
      <c r="I154" s="97" t="str">
        <f>+Ruta!I154</f>
        <v xml:space="preserve">Marques 3años Botella + Can Agte </v>
      </c>
      <c r="J154" s="97" t="str">
        <f>+Ruta!J154</f>
        <v>CLL 45 # 98A 28</v>
      </c>
      <c r="K154" s="97">
        <f>+Ruta!K154</f>
        <v>66978222</v>
      </c>
      <c r="L154" s="103"/>
      <c r="M154" s="78">
        <f>+Ruta!R154</f>
        <v>6</v>
      </c>
      <c r="N154" s="96">
        <v>1.994614540740002E-4</v>
      </c>
      <c r="O154" s="66">
        <f t="shared" si="12"/>
        <v>0.19946145407400021</v>
      </c>
      <c r="P154" s="67">
        <v>3</v>
      </c>
      <c r="Q154" s="66">
        <v>3</v>
      </c>
      <c r="R154" s="66">
        <f t="shared" si="13"/>
        <v>0.59838436222200053</v>
      </c>
      <c r="S154" s="66">
        <f t="shared" si="14"/>
        <v>9</v>
      </c>
      <c r="T154" s="66">
        <f t="shared" si="15"/>
        <v>1.994614540740002</v>
      </c>
      <c r="U154" s="66">
        <f t="shared" si="18"/>
        <v>30</v>
      </c>
      <c r="V154" s="66">
        <f t="shared" si="16"/>
        <v>9</v>
      </c>
    </row>
    <row r="155" spans="2:22" hidden="1" x14ac:dyDescent="0.25">
      <c r="B155" s="97" t="str">
        <f>+Ruta!B155</f>
        <v>SI</v>
      </c>
      <c r="C155" s="97">
        <f>+Ruta!C155</f>
        <v>152</v>
      </c>
      <c r="D155" s="97" t="str">
        <f>+Ruta!D155</f>
        <v>Cali</v>
      </c>
      <c r="E155" s="97" t="str">
        <f>+Ruta!E155</f>
        <v>TAT</v>
      </c>
      <c r="F155" s="97" t="str">
        <f>+Ruta!F155</f>
        <v>Ana Rosa Lopera</v>
      </c>
      <c r="G155" s="97" t="str">
        <f>+Ruta!G155</f>
        <v>Diliana españa</v>
      </c>
      <c r="H155" s="97">
        <f>+Ruta!H155</f>
        <v>3162451945</v>
      </c>
      <c r="I155" s="97" t="str">
        <f>+Ruta!I155</f>
        <v xml:space="preserve">Marques 3años Botella + Can Agte </v>
      </c>
      <c r="J155" s="97" t="str">
        <f>+Ruta!J155</f>
        <v>CR 83C # 48 223</v>
      </c>
      <c r="K155" s="97">
        <f>+Ruta!K155</f>
        <v>1144084729</v>
      </c>
      <c r="L155" s="103"/>
      <c r="M155" s="78">
        <f>+Ruta!R155</f>
        <v>3</v>
      </c>
      <c r="N155" s="96">
        <v>9.9730727037000098E-5</v>
      </c>
      <c r="O155" s="66">
        <f t="shared" si="12"/>
        <v>9.9730727037000103E-2</v>
      </c>
      <c r="P155" s="67">
        <v>3</v>
      </c>
      <c r="Q155" s="66">
        <v>3</v>
      </c>
      <c r="R155" s="66">
        <f t="shared" si="13"/>
        <v>0.29919218111100027</v>
      </c>
      <c r="S155" s="66">
        <f t="shared" si="14"/>
        <v>9</v>
      </c>
      <c r="T155" s="66">
        <f t="shared" si="15"/>
        <v>0.997307270370001</v>
      </c>
      <c r="U155" s="66">
        <f t="shared" si="18"/>
        <v>30</v>
      </c>
      <c r="V155" s="66">
        <f t="shared" si="16"/>
        <v>9</v>
      </c>
    </row>
    <row r="156" spans="2:22" hidden="1" x14ac:dyDescent="0.25">
      <c r="B156" s="97" t="str">
        <f>+Ruta!B156</f>
        <v>SI</v>
      </c>
      <c r="C156" s="97">
        <f>+Ruta!C156</f>
        <v>153</v>
      </c>
      <c r="D156" s="97" t="str">
        <f>+Ruta!D156</f>
        <v>Cali</v>
      </c>
      <c r="E156" s="97" t="str">
        <f>+Ruta!E156</f>
        <v>TAT</v>
      </c>
      <c r="F156" s="97" t="str">
        <f>+Ruta!F156</f>
        <v>Ana Rosa Lopera</v>
      </c>
      <c r="G156" s="97" t="str">
        <f>+Ruta!G156</f>
        <v>Supermercado aranjuez</v>
      </c>
      <c r="H156" s="97">
        <f>+Ruta!H156</f>
        <v>3722002</v>
      </c>
      <c r="I156" s="97" t="str">
        <f>+Ruta!I156</f>
        <v xml:space="preserve">Marques 3años Botella + Can Agte </v>
      </c>
      <c r="J156" s="97" t="str">
        <f>+Ruta!J156</f>
        <v>CR 23 15B 44</v>
      </c>
      <c r="K156" s="97">
        <f>+Ruta!K156</f>
        <v>1130598374</v>
      </c>
      <c r="L156" s="103"/>
      <c r="M156" s="78">
        <f>+Ruta!R156</f>
        <v>7</v>
      </c>
      <c r="N156" s="96">
        <v>2.3270502975300024E-4</v>
      </c>
      <c r="O156" s="66">
        <f t="shared" si="12"/>
        <v>0.23270502975300023</v>
      </c>
      <c r="P156" s="67">
        <v>3</v>
      </c>
      <c r="Q156" s="66">
        <v>3</v>
      </c>
      <c r="R156" s="66">
        <f t="shared" si="13"/>
        <v>0.69811508925900068</v>
      </c>
      <c r="S156" s="66">
        <f t="shared" si="14"/>
        <v>9</v>
      </c>
      <c r="T156" s="66">
        <f t="shared" si="15"/>
        <v>2.3270502975300023</v>
      </c>
      <c r="U156" s="66">
        <f t="shared" si="18"/>
        <v>30</v>
      </c>
      <c r="V156" s="66">
        <f t="shared" si="16"/>
        <v>9</v>
      </c>
    </row>
    <row r="157" spans="2:22" hidden="1" x14ac:dyDescent="0.25">
      <c r="B157" s="97" t="str">
        <f>+Ruta!B157</f>
        <v>SI</v>
      </c>
      <c r="C157" s="97">
        <f>+Ruta!C157</f>
        <v>154</v>
      </c>
      <c r="D157" s="97" t="str">
        <f>+Ruta!D157</f>
        <v>Cali</v>
      </c>
      <c r="E157" s="97" t="str">
        <f>+Ruta!E157</f>
        <v>TAT</v>
      </c>
      <c r="F157" s="97" t="str">
        <f>+Ruta!F157</f>
        <v>Ana Rosa Lopera</v>
      </c>
      <c r="G157" s="97" t="str">
        <f>+Ruta!G157</f>
        <v>Licores sarasty</v>
      </c>
      <c r="H157" s="97">
        <f>+Ruta!H157</f>
        <v>3104156267</v>
      </c>
      <c r="I157" s="97" t="str">
        <f>+Ruta!I157</f>
        <v xml:space="preserve">Marques 3años Botella + Can Agte </v>
      </c>
      <c r="J157" s="97" t="str">
        <f>+Ruta!J157</f>
        <v>CLL 58A 1B 06</v>
      </c>
      <c r="K157" s="97">
        <f>+Ruta!K157</f>
        <v>16796483</v>
      </c>
      <c r="L157" s="103"/>
      <c r="M157" s="78">
        <f>+Ruta!R157</f>
        <v>5</v>
      </c>
      <c r="N157" s="96">
        <v>1.6621787839500015E-4</v>
      </c>
      <c r="O157" s="66">
        <f t="shared" si="12"/>
        <v>0.16621787839500016</v>
      </c>
      <c r="P157" s="67">
        <v>3</v>
      </c>
      <c r="Q157" s="66">
        <v>3</v>
      </c>
      <c r="R157" s="66">
        <f t="shared" si="13"/>
        <v>0.49865363518500044</v>
      </c>
      <c r="S157" s="66">
        <f t="shared" si="14"/>
        <v>9</v>
      </c>
      <c r="T157" s="66">
        <f t="shared" si="15"/>
        <v>1.6621787839500015</v>
      </c>
      <c r="U157" s="66">
        <f t="shared" si="18"/>
        <v>30</v>
      </c>
      <c r="V157" s="66">
        <f t="shared" si="16"/>
        <v>9</v>
      </c>
    </row>
    <row r="158" spans="2:22" hidden="1" x14ac:dyDescent="0.25">
      <c r="B158" s="97" t="str">
        <f>+Ruta!B158</f>
        <v>SI</v>
      </c>
      <c r="C158" s="97">
        <f>+Ruta!C158</f>
        <v>155</v>
      </c>
      <c r="D158" s="97" t="str">
        <f>+Ruta!D158</f>
        <v>Cali</v>
      </c>
      <c r="E158" s="97" t="str">
        <f>+Ruta!E158</f>
        <v>TAT</v>
      </c>
      <c r="F158" s="97" t="str">
        <f>+Ruta!F158</f>
        <v>Ana Rosa Lopera</v>
      </c>
      <c r="G158" s="97" t="str">
        <f>+Ruta!G158</f>
        <v>Licores  baratillo</v>
      </c>
      <c r="H158" s="97">
        <f>+Ruta!H158</f>
        <v>3187914323</v>
      </c>
      <c r="I158" s="97" t="str">
        <f>+Ruta!I158</f>
        <v xml:space="preserve">Marques 3años Botella + Can Agte </v>
      </c>
      <c r="J158" s="97" t="str">
        <f>+Ruta!J158</f>
        <v>CR 26U # 122 94</v>
      </c>
      <c r="K158" s="97">
        <f>+Ruta!K158</f>
        <v>94300252</v>
      </c>
      <c r="L158" s="103"/>
      <c r="M158" s="78">
        <f>+Ruta!R158</f>
        <v>6</v>
      </c>
      <c r="N158" s="96">
        <v>1.994614540740002E-4</v>
      </c>
      <c r="O158" s="66">
        <f t="shared" si="12"/>
        <v>0.19946145407400021</v>
      </c>
      <c r="P158" s="67">
        <v>3</v>
      </c>
      <c r="Q158" s="66">
        <v>3</v>
      </c>
      <c r="R158" s="66">
        <f t="shared" si="13"/>
        <v>0.59838436222200053</v>
      </c>
      <c r="S158" s="66">
        <f t="shared" si="14"/>
        <v>9</v>
      </c>
      <c r="T158" s="66">
        <f t="shared" si="15"/>
        <v>1.994614540740002</v>
      </c>
      <c r="U158" s="66">
        <f t="shared" si="18"/>
        <v>30</v>
      </c>
      <c r="V158" s="66">
        <f t="shared" si="16"/>
        <v>9</v>
      </c>
    </row>
    <row r="159" spans="2:22" hidden="1" x14ac:dyDescent="0.25">
      <c r="B159" s="97" t="str">
        <f>+Ruta!B159</f>
        <v>SI</v>
      </c>
      <c r="C159" s="97">
        <f>+Ruta!C159</f>
        <v>156</v>
      </c>
      <c r="D159" s="97" t="str">
        <f>+Ruta!D159</f>
        <v>Cali</v>
      </c>
      <c r="E159" s="97" t="str">
        <f>+Ruta!E159</f>
        <v>TAT</v>
      </c>
      <c r="F159" s="97" t="str">
        <f>+Ruta!F159</f>
        <v>Ana Rosa Lopera</v>
      </c>
      <c r="G159" s="97" t="str">
        <f>+Ruta!G159</f>
        <v>Giovanny duque</v>
      </c>
      <c r="H159" s="97">
        <f>+Ruta!H159</f>
        <v>3153471142</v>
      </c>
      <c r="I159" s="97" t="str">
        <f>+Ruta!I159</f>
        <v xml:space="preserve">Marques 3años Botella + Can Agte </v>
      </c>
      <c r="J159" s="97" t="str">
        <f>+Ruta!J159</f>
        <v>CR 23 12.ª 03</v>
      </c>
      <c r="K159" s="97">
        <f>+Ruta!K159</f>
        <v>98391364</v>
      </c>
      <c r="L159" s="103"/>
      <c r="M159" s="78">
        <f>+Ruta!R159</f>
        <v>3</v>
      </c>
      <c r="N159" s="96">
        <v>9.9730727037000098E-5</v>
      </c>
      <c r="O159" s="66">
        <f t="shared" si="12"/>
        <v>9.9730727037000103E-2</v>
      </c>
      <c r="P159" s="67">
        <v>3</v>
      </c>
      <c r="Q159" s="66">
        <v>3</v>
      </c>
      <c r="R159" s="66">
        <f t="shared" si="13"/>
        <v>0.29919218111100027</v>
      </c>
      <c r="S159" s="66">
        <f t="shared" si="14"/>
        <v>9</v>
      </c>
      <c r="T159" s="66">
        <f t="shared" si="15"/>
        <v>0.997307270370001</v>
      </c>
      <c r="U159" s="66">
        <f t="shared" si="18"/>
        <v>30</v>
      </c>
      <c r="V159" s="66">
        <f t="shared" si="16"/>
        <v>9</v>
      </c>
    </row>
    <row r="160" spans="2:22" hidden="1" x14ac:dyDescent="0.25">
      <c r="B160" s="97" t="str">
        <f>+Ruta!B160</f>
        <v>SI</v>
      </c>
      <c r="C160" s="97">
        <f>+Ruta!C160</f>
        <v>157</v>
      </c>
      <c r="D160" s="97" t="str">
        <f>+Ruta!D160</f>
        <v>Cali</v>
      </c>
      <c r="E160" s="97" t="str">
        <f>+Ruta!E160</f>
        <v>TAT</v>
      </c>
      <c r="F160" s="97" t="str">
        <f>+Ruta!F160</f>
        <v>Ana Rosa Lopera</v>
      </c>
      <c r="G160" s="97" t="str">
        <f>+Ruta!G160</f>
        <v>Dulceria y licores JL</v>
      </c>
      <c r="H160" s="97">
        <f>+Ruta!H160</f>
        <v>3218729505</v>
      </c>
      <c r="I160" s="97" t="str">
        <f>+Ruta!I160</f>
        <v xml:space="preserve">Marques 3años Botella + Can Agte </v>
      </c>
      <c r="J160" s="97" t="str">
        <f>+Ruta!J160</f>
        <v>CLL 11 # 8 19</v>
      </c>
      <c r="K160" s="97">
        <f>+Ruta!K160</f>
        <v>1113522977</v>
      </c>
      <c r="L160" s="103"/>
      <c r="M160" s="78">
        <f>+Ruta!R160</f>
        <v>25</v>
      </c>
      <c r="N160" s="96">
        <v>8.3108939197500088E-4</v>
      </c>
      <c r="O160" s="66">
        <f t="shared" si="12"/>
        <v>0.83108939197500087</v>
      </c>
      <c r="P160" s="67">
        <v>3</v>
      </c>
      <c r="Q160" s="66">
        <v>3</v>
      </c>
      <c r="R160" s="66">
        <f t="shared" si="13"/>
        <v>2.4932681759250026</v>
      </c>
      <c r="S160" s="66">
        <f t="shared" si="14"/>
        <v>9</v>
      </c>
      <c r="T160" s="66">
        <f t="shared" si="15"/>
        <v>8.3108939197500096</v>
      </c>
      <c r="U160" s="66">
        <f t="shared" si="18"/>
        <v>30</v>
      </c>
      <c r="V160" s="66">
        <f t="shared" si="16"/>
        <v>9</v>
      </c>
    </row>
    <row r="161" spans="2:22" hidden="1" x14ac:dyDescent="0.25">
      <c r="B161" s="97" t="str">
        <f>+Ruta!B161</f>
        <v>SI</v>
      </c>
      <c r="C161" s="97">
        <f>+Ruta!C161</f>
        <v>158</v>
      </c>
      <c r="D161" s="97" t="str">
        <f>+Ruta!D161</f>
        <v>Palmira</v>
      </c>
      <c r="E161" s="97" t="str">
        <f>+Ruta!E161</f>
        <v xml:space="preserve">Mayorista </v>
      </c>
      <c r="F161" s="97" t="str">
        <f>+Ruta!F161</f>
        <v>Katherine Rengifo</v>
      </c>
      <c r="G161" s="97" t="str">
        <f>+Ruta!G161</f>
        <v>miscelanea San Agustin</v>
      </c>
      <c r="H161" s="97">
        <f>+Ruta!H161</f>
        <v>2734001</v>
      </c>
      <c r="I161" s="97" t="str">
        <f>+Ruta!I161</f>
        <v>Marques 3 años + caneca agte-marques botella pague 2 lleve 3 - marques caneca 3 años pague 2 lleve 3</v>
      </c>
      <c r="J161" s="97" t="str">
        <f>+Ruta!J161</f>
        <v>Cra 28 # 35 - 43</v>
      </c>
      <c r="K161" s="97">
        <f>+Ruta!K161</f>
        <v>0</v>
      </c>
      <c r="L161" s="103"/>
      <c r="M161" s="78">
        <f>+Ruta!R161</f>
        <v>300</v>
      </c>
      <c r="N161" s="96">
        <v>9.9730727037000092E-3</v>
      </c>
      <c r="O161" s="66">
        <f t="shared" si="12"/>
        <v>9.9730727037000086</v>
      </c>
      <c r="P161" s="67">
        <v>7.7239406400858215</v>
      </c>
      <c r="Q161" s="66">
        <v>7.7239406400858215</v>
      </c>
      <c r="R161" s="66">
        <f t="shared" si="13"/>
        <v>29.919218111100026</v>
      </c>
      <c r="S161" s="66">
        <v>30</v>
      </c>
      <c r="T161" s="66">
        <f t="shared" si="15"/>
        <v>99.730727037000094</v>
      </c>
      <c r="U161" s="66">
        <v>100</v>
      </c>
      <c r="V161" s="66">
        <f t="shared" si="16"/>
        <v>30</v>
      </c>
    </row>
    <row r="162" spans="2:22" hidden="1" x14ac:dyDescent="0.25">
      <c r="B162" s="97" t="str">
        <f>+Ruta!B162</f>
        <v>SI</v>
      </c>
      <c r="C162" s="97">
        <f>+Ruta!C162</f>
        <v>159</v>
      </c>
      <c r="D162" s="97" t="str">
        <f>+Ruta!D162</f>
        <v>Ginebra</v>
      </c>
      <c r="E162" s="97" t="str">
        <f>+Ruta!E162</f>
        <v xml:space="preserve">Mayorista </v>
      </c>
      <c r="F162" s="97" t="str">
        <f>+Ruta!F162</f>
        <v>Katherine Rengifo</v>
      </c>
      <c r="G162" s="97" t="str">
        <f>+Ruta!G162</f>
        <v xml:space="preserve">Estanco Luz </v>
      </c>
      <c r="H162" s="97">
        <f>+Ruta!H162</f>
        <v>2561280</v>
      </c>
      <c r="I162" s="97" t="str">
        <f>+Ruta!I162</f>
        <v>Marques 3 años + caneca agte-marques botella pague 2 lleve 3 - marques caneca 3 años pague 2 lleve 3</v>
      </c>
      <c r="J162" s="97" t="str">
        <f>+Ruta!J162</f>
        <v>Calle 4 # 3 - 58</v>
      </c>
      <c r="K162" s="97">
        <f>+Ruta!K162</f>
        <v>0</v>
      </c>
      <c r="L162" s="103"/>
      <c r="M162" s="78">
        <f>+Ruta!R162</f>
        <v>192</v>
      </c>
      <c r="N162" s="96">
        <v>6.3827665303680062E-3</v>
      </c>
      <c r="O162" s="66">
        <f t="shared" si="12"/>
        <v>6.3827665303680066</v>
      </c>
      <c r="P162" s="67">
        <v>4.2910781333810126</v>
      </c>
      <c r="Q162" s="66">
        <v>4.2910781333810126</v>
      </c>
      <c r="R162" s="66">
        <f t="shared" si="13"/>
        <v>19.148299591104017</v>
      </c>
      <c r="S162" s="66">
        <v>20</v>
      </c>
      <c r="T162" s="66">
        <f t="shared" si="15"/>
        <v>63.827665303680064</v>
      </c>
      <c r="U162" s="66">
        <v>60</v>
      </c>
      <c r="V162" s="66">
        <f t="shared" si="16"/>
        <v>20</v>
      </c>
    </row>
    <row r="163" spans="2:22" hidden="1" x14ac:dyDescent="0.25">
      <c r="B163" s="97" t="str">
        <f>+Ruta!B163</f>
        <v>SI</v>
      </c>
      <c r="C163" s="97">
        <f>+Ruta!C163</f>
        <v>160</v>
      </c>
      <c r="D163" s="97" t="str">
        <f>+Ruta!D163</f>
        <v>Villagorgona</v>
      </c>
      <c r="E163" s="97" t="str">
        <f>+Ruta!E163</f>
        <v xml:space="preserve">Mayorista </v>
      </c>
      <c r="F163" s="97" t="str">
        <f>+Ruta!F163</f>
        <v>Katherine Rengifo</v>
      </c>
      <c r="G163" s="97" t="str">
        <f>+Ruta!G163</f>
        <v>Comercializadora La Berraquera</v>
      </c>
      <c r="H163" s="97">
        <f>+Ruta!H163</f>
        <v>2607952</v>
      </c>
      <c r="I163" s="97" t="str">
        <f>+Ruta!I163</f>
        <v>oferta ron marques 3 años + caneca de aguardiente</v>
      </c>
      <c r="J163" s="97" t="str">
        <f>+Ruta!J163</f>
        <v>Calle 16 # 10 - 16</v>
      </c>
      <c r="K163" s="97">
        <f>+Ruta!K163</f>
        <v>0</v>
      </c>
      <c r="L163" s="103"/>
      <c r="M163" s="78">
        <f>+Ruta!R163</f>
        <v>360</v>
      </c>
      <c r="N163" s="96">
        <v>1.1967687244440013E-2</v>
      </c>
      <c r="O163" s="66">
        <f t="shared" si="12"/>
        <v>11.967687244440013</v>
      </c>
      <c r="P163" s="67">
        <v>6.4366172000715176</v>
      </c>
      <c r="Q163" s="66">
        <v>6.4366172000715176</v>
      </c>
      <c r="R163" s="66">
        <f t="shared" si="13"/>
        <v>35.903061733320037</v>
      </c>
      <c r="S163" s="66">
        <v>40</v>
      </c>
      <c r="T163" s="66">
        <f t="shared" si="15"/>
        <v>119.67687244440013</v>
      </c>
      <c r="U163" s="66">
        <v>120</v>
      </c>
      <c r="V163" s="66">
        <f t="shared" si="16"/>
        <v>40</v>
      </c>
    </row>
    <row r="164" spans="2:22" x14ac:dyDescent="0.25">
      <c r="B164" s="97" t="str">
        <f>+Ruta!B164</f>
        <v>SI</v>
      </c>
      <c r="C164" s="97">
        <f>+Ruta!C164</f>
        <v>161</v>
      </c>
      <c r="D164" s="97" t="str">
        <f>+Ruta!D164</f>
        <v>Buga</v>
      </c>
      <c r="E164" s="97" t="str">
        <f>+Ruta!E164</f>
        <v xml:space="preserve">Mayorista </v>
      </c>
      <c r="F164" s="97" t="str">
        <f>+Ruta!F164</f>
        <v>Lina Colonia</v>
      </c>
      <c r="G164" s="97" t="str">
        <f>+Ruta!G164</f>
        <v>Licores La 21</v>
      </c>
      <c r="H164" s="97" t="str">
        <f>+Ruta!H164</f>
        <v>316 7156198</v>
      </c>
      <c r="I164" s="97">
        <f>+Ruta!I164</f>
        <v>0</v>
      </c>
      <c r="J164" s="97" t="str">
        <f>+Ruta!J164</f>
        <v>Calle 21 # 13 - 04</v>
      </c>
      <c r="K164" s="97">
        <f>+Ruta!K164</f>
        <v>0</v>
      </c>
      <c r="L164" s="103"/>
      <c r="M164" s="78">
        <f>+Ruta!R164</f>
        <v>24</v>
      </c>
      <c r="N164" s="96">
        <v>7.9784581629600078E-4</v>
      </c>
      <c r="O164" s="66">
        <f t="shared" si="12"/>
        <v>0.79784581629600082</v>
      </c>
      <c r="P164" s="67">
        <v>3</v>
      </c>
      <c r="Q164" s="66">
        <v>3</v>
      </c>
      <c r="R164" s="66">
        <f t="shared" si="13"/>
        <v>2.3935374488880021</v>
      </c>
      <c r="S164" s="66">
        <f t="shared" si="14"/>
        <v>9</v>
      </c>
      <c r="T164" s="66">
        <f t="shared" si="15"/>
        <v>7.978458162960008</v>
      </c>
      <c r="U164" s="66">
        <f>+Q164*10</f>
        <v>30</v>
      </c>
      <c r="V164" s="66">
        <f t="shared" si="16"/>
        <v>9</v>
      </c>
    </row>
    <row r="165" spans="2:22" x14ac:dyDescent="0.25">
      <c r="B165" s="97" t="str">
        <f>+Ruta!B165</f>
        <v>SI</v>
      </c>
      <c r="C165" s="97">
        <f>+Ruta!C165</f>
        <v>162</v>
      </c>
      <c r="D165" s="97" t="str">
        <f>+Ruta!D165</f>
        <v>Buga</v>
      </c>
      <c r="E165" s="97" t="str">
        <f>+Ruta!E165</f>
        <v xml:space="preserve">Mayorista </v>
      </c>
      <c r="F165" s="97" t="str">
        <f>+Ruta!F165</f>
        <v>Lina Colonia</v>
      </c>
      <c r="G165" s="97" t="str">
        <f>+Ruta!G165</f>
        <v>Licores Estambul</v>
      </c>
      <c r="H165" s="97" t="str">
        <f>+Ruta!H165</f>
        <v>316 6154526</v>
      </c>
      <c r="I165" s="97">
        <f>+Ruta!I165</f>
        <v>0</v>
      </c>
      <c r="J165" s="97" t="str">
        <f>+Ruta!J165</f>
        <v>Calle 11 # 11-18</v>
      </c>
      <c r="K165" s="97">
        <f>+Ruta!K165</f>
        <v>0</v>
      </c>
      <c r="L165" s="97">
        <f>+Ruta!L165</f>
        <v>0</v>
      </c>
      <c r="M165" s="78">
        <f>+Ruta!R165</f>
        <v>90</v>
      </c>
      <c r="N165" s="96">
        <v>2.9919218111100032E-3</v>
      </c>
      <c r="O165" s="66">
        <f t="shared" si="12"/>
        <v>2.9919218111100032</v>
      </c>
      <c r="P165" s="67">
        <v>3</v>
      </c>
      <c r="Q165" s="66">
        <v>3</v>
      </c>
      <c r="R165" s="66">
        <f t="shared" ref="R165:R169" si="19">+R$3*N165</f>
        <v>8.9757654333300092</v>
      </c>
      <c r="S165" s="66">
        <f t="shared" ref="S165:S170" si="20">+P165*3</f>
        <v>9</v>
      </c>
      <c r="T165" s="66">
        <f t="shared" si="15"/>
        <v>29.919218111100033</v>
      </c>
      <c r="U165" s="66">
        <f t="shared" ref="U165:U170" si="21">+Q165*10</f>
        <v>30</v>
      </c>
      <c r="V165" s="66">
        <f t="shared" si="16"/>
        <v>9</v>
      </c>
    </row>
    <row r="166" spans="2:22" x14ac:dyDescent="0.25">
      <c r="B166" s="97" t="str">
        <f>+Ruta!B166</f>
        <v>SI</v>
      </c>
      <c r="C166" s="97">
        <f>+Ruta!C166</f>
        <v>163</v>
      </c>
      <c r="D166" s="97" t="str">
        <f>+Ruta!D166</f>
        <v>Buga</v>
      </c>
      <c r="E166" s="97" t="str">
        <f>+Ruta!E166</f>
        <v xml:space="preserve">Mayorista </v>
      </c>
      <c r="F166" s="97" t="str">
        <f>+Ruta!F166</f>
        <v>Lina Colonia</v>
      </c>
      <c r="G166" s="97" t="str">
        <f>+Ruta!G166</f>
        <v>Distrikopas</v>
      </c>
      <c r="H166" s="97">
        <f>+Ruta!H166</f>
        <v>0</v>
      </c>
      <c r="I166" s="97">
        <f>+Ruta!I166</f>
        <v>0</v>
      </c>
      <c r="J166" s="97">
        <f>+Ruta!J166</f>
        <v>0</v>
      </c>
      <c r="K166" s="97">
        <f>+Ruta!K166</f>
        <v>0</v>
      </c>
      <c r="L166" s="78"/>
      <c r="M166" s="78">
        <f>+Ruta!R166</f>
        <v>0</v>
      </c>
      <c r="N166" s="96">
        <v>0</v>
      </c>
      <c r="O166" s="66">
        <f t="shared" si="12"/>
        <v>0</v>
      </c>
      <c r="P166" s="67">
        <v>3</v>
      </c>
      <c r="Q166" s="66">
        <v>3</v>
      </c>
      <c r="R166" s="66">
        <f t="shared" si="19"/>
        <v>0</v>
      </c>
      <c r="S166" s="66"/>
      <c r="T166" s="66">
        <f t="shared" si="15"/>
        <v>0</v>
      </c>
      <c r="U166" s="66"/>
      <c r="V166" s="66"/>
    </row>
    <row r="167" spans="2:22" hidden="1" x14ac:dyDescent="0.25">
      <c r="B167" s="97" t="str">
        <f>+Ruta!B167</f>
        <v>SI</v>
      </c>
      <c r="C167" s="97">
        <f>+Ruta!C167</f>
        <v>164</v>
      </c>
      <c r="D167" s="97" t="str">
        <f>+Ruta!D167</f>
        <v xml:space="preserve">La Paila </v>
      </c>
      <c r="E167" s="97" t="str">
        <f>+Ruta!E167</f>
        <v xml:space="preserve">Mayorista </v>
      </c>
      <c r="F167" s="97" t="str">
        <f>+Ruta!F167</f>
        <v>Jhenny Romero</v>
      </c>
      <c r="G167" s="97" t="str">
        <f>+Ruta!G167</f>
        <v>Miscelanea Melany</v>
      </c>
      <c r="H167" s="97">
        <f>+Ruta!H167</f>
        <v>3022880752</v>
      </c>
      <c r="I167" s="97">
        <f>+Ruta!I167</f>
        <v>0</v>
      </c>
      <c r="J167" s="97" t="str">
        <f>+Ruta!J167</f>
        <v>Carrera 4 # 12-61</v>
      </c>
      <c r="K167" s="97">
        <f>+Ruta!K167</f>
        <v>0</v>
      </c>
      <c r="L167" s="78"/>
      <c r="M167" s="78">
        <f>+Ruta!R167</f>
        <v>0</v>
      </c>
      <c r="N167" s="96">
        <v>0</v>
      </c>
      <c r="O167" s="66">
        <f t="shared" si="12"/>
        <v>0</v>
      </c>
      <c r="P167" s="67">
        <v>3</v>
      </c>
      <c r="Q167" s="66">
        <v>3</v>
      </c>
      <c r="R167" s="66">
        <f t="shared" si="19"/>
        <v>0</v>
      </c>
      <c r="S167" s="66"/>
      <c r="T167" s="66">
        <f t="shared" si="15"/>
        <v>0</v>
      </c>
      <c r="U167" s="66"/>
      <c r="V167" s="66"/>
    </row>
    <row r="168" spans="2:22" hidden="1" x14ac:dyDescent="0.25">
      <c r="B168" s="97" t="str">
        <f>+Ruta!B184</f>
        <v>SI</v>
      </c>
      <c r="C168" s="97">
        <f>+Ruta!C184</f>
        <v>181</v>
      </c>
      <c r="D168" s="97" t="str">
        <f>+Ruta!D184</f>
        <v>Tuluá</v>
      </c>
      <c r="E168" s="97" t="str">
        <f>+Ruta!E184</f>
        <v>Licorera</v>
      </c>
      <c r="F168" s="97" t="str">
        <f>+Ruta!F184</f>
        <v>Lina Colonia</v>
      </c>
      <c r="G168" s="97" t="str">
        <f>+Ruta!G184</f>
        <v>Licores VIP</v>
      </c>
      <c r="H168" s="97">
        <f>+Ruta!H184</f>
        <v>3216605343</v>
      </c>
      <c r="I168" s="97">
        <f>+Ruta!I184</f>
        <v>0</v>
      </c>
      <c r="J168" s="97" t="str">
        <f>+Ruta!J184</f>
        <v>Calle 40 # 24 - 78</v>
      </c>
      <c r="K168" s="97">
        <f>+Ruta!K184</f>
        <v>0</v>
      </c>
      <c r="L168" s="78"/>
      <c r="M168" s="78">
        <f>+Ruta!R184</f>
        <v>0</v>
      </c>
      <c r="N168" s="96">
        <v>0</v>
      </c>
      <c r="O168" s="66">
        <f t="shared" si="12"/>
        <v>0</v>
      </c>
      <c r="P168" s="67">
        <v>3</v>
      </c>
      <c r="Q168" s="66">
        <v>3</v>
      </c>
      <c r="R168" s="66">
        <f t="shared" si="19"/>
        <v>0</v>
      </c>
      <c r="S168" s="66"/>
      <c r="T168" s="66">
        <f t="shared" si="15"/>
        <v>0</v>
      </c>
      <c r="U168" s="66"/>
      <c r="V168" s="66"/>
    </row>
    <row r="169" spans="2:22" hidden="1" x14ac:dyDescent="0.25">
      <c r="B169" s="97">
        <f>+Ruta!B185</f>
        <v>0</v>
      </c>
      <c r="C169" s="97">
        <f>+Ruta!C185</f>
        <v>0</v>
      </c>
      <c r="D169" s="97">
        <f>+Ruta!D185</f>
        <v>0</v>
      </c>
      <c r="E169" s="97">
        <f>+Ruta!E185</f>
        <v>0</v>
      </c>
      <c r="F169" s="97">
        <f>+Ruta!F185</f>
        <v>0</v>
      </c>
      <c r="G169" s="97">
        <f>+Ruta!G185</f>
        <v>0</v>
      </c>
      <c r="H169" s="97">
        <f>+Ruta!H185</f>
        <v>0</v>
      </c>
      <c r="I169" s="97">
        <f>+Ruta!I185</f>
        <v>0</v>
      </c>
      <c r="J169" s="97">
        <f>+Ruta!J185</f>
        <v>0</v>
      </c>
      <c r="K169" s="97">
        <f>+Ruta!K185</f>
        <v>0</v>
      </c>
      <c r="L169" s="78"/>
      <c r="M169" s="78">
        <f>+Ruta!R185</f>
        <v>0</v>
      </c>
      <c r="N169" s="96">
        <v>0</v>
      </c>
      <c r="O169" s="66">
        <f t="shared" si="12"/>
        <v>0</v>
      </c>
      <c r="P169" s="67">
        <v>3</v>
      </c>
      <c r="Q169" s="66">
        <v>3</v>
      </c>
      <c r="R169" s="66">
        <f t="shared" si="19"/>
        <v>0</v>
      </c>
      <c r="S169" s="66"/>
      <c r="T169" s="66">
        <f t="shared" si="15"/>
        <v>0</v>
      </c>
      <c r="U169" s="66"/>
      <c r="V169" s="66"/>
    </row>
    <row r="170" spans="2:22" ht="15.75" hidden="1" thickBot="1" x14ac:dyDescent="0.3">
      <c r="B170" s="70"/>
      <c r="C170" s="70"/>
      <c r="D170" s="70"/>
      <c r="E170" s="70"/>
      <c r="F170" s="70"/>
      <c r="G170" s="70"/>
      <c r="H170" s="104"/>
      <c r="I170" s="104"/>
      <c r="J170" s="104"/>
      <c r="K170" s="104"/>
      <c r="L170" s="105"/>
      <c r="M170" s="105">
        <f>+Ruta!R186</f>
        <v>0</v>
      </c>
      <c r="N170" s="68">
        <v>0</v>
      </c>
      <c r="O170" s="70"/>
      <c r="P170" s="70"/>
      <c r="Q170" s="70"/>
      <c r="R170" s="70"/>
      <c r="S170" s="69">
        <f t="shared" si="20"/>
        <v>0</v>
      </c>
      <c r="T170" s="69">
        <f t="shared" si="15"/>
        <v>0</v>
      </c>
      <c r="U170" s="69">
        <f t="shared" si="21"/>
        <v>0</v>
      </c>
      <c r="V170" s="69">
        <f t="shared" ref="V170" si="22">+S170*10</f>
        <v>0</v>
      </c>
    </row>
    <row r="171" spans="2:22" hidden="1" x14ac:dyDescent="0.25">
      <c r="B171" s="51"/>
      <c r="C171" s="52"/>
      <c r="D171" s="52"/>
      <c r="E171" s="52"/>
      <c r="F171" s="51"/>
      <c r="G171" s="53"/>
      <c r="H171" s="23"/>
      <c r="I171" s="23"/>
      <c r="J171" s="23"/>
      <c r="K171" s="54"/>
      <c r="L171" s="54"/>
      <c r="M171" s="54"/>
      <c r="Q171" s="41"/>
    </row>
    <row r="172" spans="2:22" hidden="1" x14ac:dyDescent="0.25">
      <c r="Q172" s="41"/>
    </row>
    <row r="173" spans="2:22" x14ac:dyDescent="0.25">
      <c r="M173" s="62">
        <f>SUBTOTAL(9,M4:M172)</f>
        <v>2074</v>
      </c>
      <c r="N173" s="63">
        <f>SUBTOTAL(9,N4:N172)</f>
        <v>6.8947175958246065E-2</v>
      </c>
      <c r="O173" s="62">
        <f>SUBTOTAL(9,O4:O172)</f>
        <v>68.947175958246063</v>
      </c>
      <c r="P173" s="62">
        <f>SUBTOTAL(9,P4:P172)</f>
        <v>66.319864115859104</v>
      </c>
      <c r="R173" s="62">
        <f>SUBTOTAL(9,R4:R172)</f>
        <v>206.84152787473818</v>
      </c>
      <c r="S173" s="62">
        <f>SUBTOTAL(9,S4:S172)</f>
        <v>196.32111568031468</v>
      </c>
      <c r="T173" s="62">
        <f>SUBTOTAL(9,T4:T172)</f>
        <v>689.47175958246066</v>
      </c>
      <c r="U173" s="62">
        <f>SUBTOTAL(9,U4:U172)</f>
        <v>656</v>
      </c>
      <c r="V173" s="62">
        <f>SUBTOTAL(9,V4:V172)</f>
        <v>196.32111568031468</v>
      </c>
    </row>
  </sheetData>
  <autoFilter ref="B1:S170" xr:uid="{9C8EB962-5662-4FE9-BB4F-49503C6F49E3}">
    <filterColumn colId="2">
      <filters>
        <filter val="Buga"/>
      </filters>
    </filterColumn>
  </autoFilter>
  <mergeCells count="1">
    <mergeCell ref="B2:M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9"/>
  <sheetViews>
    <sheetView workbookViewId="0">
      <selection activeCell="J8" sqref="J8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" bestFit="1" customWidth="1"/>
    <col min="4" max="4" width="3" bestFit="1" customWidth="1"/>
    <col min="5" max="5" width="11" bestFit="1" customWidth="1"/>
    <col min="6" max="6" width="12.5703125" bestFit="1" customWidth="1"/>
  </cols>
  <sheetData>
    <row r="3" spans="1:11" x14ac:dyDescent="0.25">
      <c r="A3" s="24" t="s">
        <v>565</v>
      </c>
      <c r="B3" s="24" t="s">
        <v>563</v>
      </c>
    </row>
    <row r="4" spans="1:11" x14ac:dyDescent="0.25">
      <c r="A4" s="24" t="s">
        <v>561</v>
      </c>
      <c r="B4">
        <v>1</v>
      </c>
      <c r="C4">
        <v>2</v>
      </c>
      <c r="D4">
        <v>3</v>
      </c>
      <c r="E4" t="s">
        <v>564</v>
      </c>
      <c r="F4" t="s">
        <v>562</v>
      </c>
      <c r="G4" t="s">
        <v>566</v>
      </c>
      <c r="J4" t="s">
        <v>561</v>
      </c>
      <c r="K4" t="s">
        <v>566</v>
      </c>
    </row>
    <row r="5" spans="1:11" x14ac:dyDescent="0.25">
      <c r="A5" s="25">
        <v>2685975</v>
      </c>
      <c r="B5" s="26"/>
      <c r="C5" s="26"/>
      <c r="D5" s="26">
        <v>10</v>
      </c>
      <c r="E5" s="26"/>
      <c r="F5" s="26">
        <v>10</v>
      </c>
      <c r="G5" t="e">
        <f>+VLOOKUP(A5,Ruta!$K$38:$K$98,1,0)</f>
        <v>#N/A</v>
      </c>
      <c r="J5">
        <v>2685975</v>
      </c>
      <c r="K5" t="e">
        <v>#N/A</v>
      </c>
    </row>
    <row r="6" spans="1:11" x14ac:dyDescent="0.25">
      <c r="A6" s="25">
        <v>3494086</v>
      </c>
      <c r="B6" s="26">
        <v>2</v>
      </c>
      <c r="C6" s="26"/>
      <c r="D6" s="26"/>
      <c r="E6" s="26"/>
      <c r="F6" s="26">
        <v>2</v>
      </c>
      <c r="G6" t="e">
        <f>+VLOOKUP(A6,Ruta!$K$38:$K$98,1,0)</f>
        <v>#N/A</v>
      </c>
      <c r="J6">
        <v>3494086</v>
      </c>
      <c r="K6" t="e">
        <v>#N/A</v>
      </c>
    </row>
    <row r="7" spans="1:11" x14ac:dyDescent="0.25">
      <c r="A7" s="25">
        <v>4453658</v>
      </c>
      <c r="B7" s="26"/>
      <c r="C7" s="26">
        <v>2</v>
      </c>
      <c r="D7" s="26"/>
      <c r="E7" s="26"/>
      <c r="F7" s="26">
        <v>2</v>
      </c>
      <c r="G7" t="e">
        <f>+VLOOKUP(A7,Ruta!$K$38:$K$98,1,0)</f>
        <v>#N/A</v>
      </c>
      <c r="J7">
        <v>4453658</v>
      </c>
      <c r="K7" t="e">
        <v>#N/A</v>
      </c>
    </row>
    <row r="8" spans="1:11" x14ac:dyDescent="0.25">
      <c r="A8" s="25">
        <v>4653824</v>
      </c>
      <c r="B8" s="26"/>
      <c r="C8" s="26">
        <v>20</v>
      </c>
      <c r="D8" s="26"/>
      <c r="E8" s="26"/>
      <c r="F8" s="26">
        <v>20</v>
      </c>
      <c r="G8" t="e">
        <f>+VLOOKUP(A8,Ruta!$K$38:$K$98,1,0)</f>
        <v>#N/A</v>
      </c>
      <c r="J8">
        <v>4653824</v>
      </c>
      <c r="K8" t="e">
        <v>#N/A</v>
      </c>
    </row>
    <row r="9" spans="1:11" x14ac:dyDescent="0.25">
      <c r="A9" s="25">
        <v>6334121</v>
      </c>
      <c r="B9" s="26"/>
      <c r="C9" s="26">
        <v>20</v>
      </c>
      <c r="D9" s="26"/>
      <c r="E9" s="26"/>
      <c r="F9" s="26">
        <v>20</v>
      </c>
      <c r="G9" t="e">
        <f>+VLOOKUP(A9,Ruta!$K$38:$K$98,1,0)</f>
        <v>#N/A</v>
      </c>
      <c r="J9">
        <v>6334121</v>
      </c>
      <c r="K9" t="e">
        <v>#N/A</v>
      </c>
    </row>
    <row r="10" spans="1:11" x14ac:dyDescent="0.25">
      <c r="A10" s="25">
        <v>9850773</v>
      </c>
      <c r="B10" s="26"/>
      <c r="C10" s="26">
        <v>2</v>
      </c>
      <c r="D10" s="26"/>
      <c r="E10" s="26"/>
      <c r="F10" s="26">
        <v>2</v>
      </c>
      <c r="G10">
        <f>+VLOOKUP(A10,Ruta!$K$38:$K$98,1,0)</f>
        <v>9850773</v>
      </c>
      <c r="J10">
        <v>9850773</v>
      </c>
      <c r="K10">
        <v>9850773</v>
      </c>
    </row>
    <row r="11" spans="1:11" x14ac:dyDescent="0.25">
      <c r="A11" s="25">
        <v>9855053</v>
      </c>
      <c r="B11" s="26"/>
      <c r="C11" s="26">
        <v>2</v>
      </c>
      <c r="D11" s="26"/>
      <c r="E11" s="26"/>
      <c r="F11" s="26">
        <v>2</v>
      </c>
      <c r="G11">
        <f>+VLOOKUP(A11,Ruta!$K$38:$K$98,1,0)</f>
        <v>9855053</v>
      </c>
      <c r="J11">
        <v>9855053</v>
      </c>
      <c r="K11">
        <v>9855053</v>
      </c>
    </row>
    <row r="12" spans="1:11" x14ac:dyDescent="0.25">
      <c r="A12" s="25">
        <v>10115498</v>
      </c>
      <c r="B12" s="26"/>
      <c r="C12" s="26">
        <v>2</v>
      </c>
      <c r="D12" s="26"/>
      <c r="E12" s="26"/>
      <c r="F12" s="26">
        <v>2</v>
      </c>
      <c r="G12">
        <f>+VLOOKUP(A12,Ruta!$K$38:$K$98,1,0)</f>
        <v>10115498</v>
      </c>
      <c r="J12">
        <v>10115498</v>
      </c>
      <c r="K12">
        <v>10115498</v>
      </c>
    </row>
    <row r="13" spans="1:11" x14ac:dyDescent="0.25">
      <c r="A13" s="25">
        <v>10224700</v>
      </c>
      <c r="B13" s="26"/>
      <c r="C13" s="26">
        <v>2</v>
      </c>
      <c r="D13" s="26"/>
      <c r="E13" s="26"/>
      <c r="F13" s="26">
        <v>2</v>
      </c>
      <c r="G13" t="e">
        <f>+VLOOKUP(A13,Ruta!$K$38:$K$98,1,0)</f>
        <v>#N/A</v>
      </c>
      <c r="J13">
        <v>10224700</v>
      </c>
      <c r="K13" t="e">
        <v>#N/A</v>
      </c>
    </row>
    <row r="14" spans="1:11" x14ac:dyDescent="0.25">
      <c r="A14" s="25">
        <v>10517213</v>
      </c>
      <c r="B14" s="26">
        <v>2</v>
      </c>
      <c r="C14" s="26"/>
      <c r="D14" s="26"/>
      <c r="E14" s="26"/>
      <c r="F14" s="26">
        <v>2</v>
      </c>
      <c r="G14" t="e">
        <f>+VLOOKUP(A14,Ruta!$K$38:$K$98,1,0)</f>
        <v>#N/A</v>
      </c>
      <c r="J14">
        <v>10517213</v>
      </c>
      <c r="K14" t="e">
        <v>#N/A</v>
      </c>
    </row>
    <row r="15" spans="1:11" x14ac:dyDescent="0.25">
      <c r="A15" s="25">
        <v>13644003</v>
      </c>
      <c r="B15" s="26"/>
      <c r="C15" s="26">
        <v>4</v>
      </c>
      <c r="D15" s="26"/>
      <c r="E15" s="26"/>
      <c r="F15" s="26">
        <v>4</v>
      </c>
      <c r="G15" t="e">
        <f>+VLOOKUP(A15,Ruta!$K$38:$K$98,1,0)</f>
        <v>#N/A</v>
      </c>
      <c r="J15">
        <v>13644003</v>
      </c>
      <c r="K15" t="e">
        <v>#N/A</v>
      </c>
    </row>
    <row r="16" spans="1:11" x14ac:dyDescent="0.25">
      <c r="A16" s="25">
        <v>14981868</v>
      </c>
      <c r="B16" s="26">
        <v>2</v>
      </c>
      <c r="C16" s="26"/>
      <c r="D16" s="26"/>
      <c r="E16" s="26"/>
      <c r="F16" s="26">
        <v>2</v>
      </c>
      <c r="G16" t="e">
        <f>+VLOOKUP(A16,Ruta!$K$38:$K$98,1,0)</f>
        <v>#N/A</v>
      </c>
      <c r="J16">
        <v>14981868</v>
      </c>
      <c r="K16" t="e">
        <v>#N/A</v>
      </c>
    </row>
    <row r="17" spans="1:11" x14ac:dyDescent="0.25">
      <c r="A17" s="25">
        <v>14998749</v>
      </c>
      <c r="B17" s="26"/>
      <c r="C17" s="26">
        <v>2</v>
      </c>
      <c r="D17" s="26"/>
      <c r="E17" s="26"/>
      <c r="F17" s="26">
        <v>2</v>
      </c>
      <c r="G17" t="e">
        <f>+VLOOKUP(A17,Ruta!$K$38:$K$98,1,0)</f>
        <v>#N/A</v>
      </c>
      <c r="J17">
        <v>14998749</v>
      </c>
      <c r="K17" t="e">
        <v>#N/A</v>
      </c>
    </row>
    <row r="18" spans="1:11" x14ac:dyDescent="0.25">
      <c r="A18" s="25">
        <v>15429690</v>
      </c>
      <c r="B18" s="26"/>
      <c r="C18" s="26">
        <v>4</v>
      </c>
      <c r="D18" s="26"/>
      <c r="E18" s="26"/>
      <c r="F18" s="26">
        <v>4</v>
      </c>
      <c r="G18" t="e">
        <f>+VLOOKUP(A18,Ruta!$K$38:$K$98,1,0)</f>
        <v>#N/A</v>
      </c>
      <c r="J18">
        <v>15429690</v>
      </c>
      <c r="K18" t="e">
        <v>#N/A</v>
      </c>
    </row>
    <row r="19" spans="1:11" x14ac:dyDescent="0.25">
      <c r="A19" s="25">
        <v>16377467</v>
      </c>
      <c r="B19" s="26"/>
      <c r="C19" s="26">
        <v>4</v>
      </c>
      <c r="D19" s="26"/>
      <c r="E19" s="26"/>
      <c r="F19" s="26">
        <v>4</v>
      </c>
      <c r="G19" t="e">
        <f>+VLOOKUP(A19,Ruta!$K$38:$K$98,1,0)</f>
        <v>#N/A</v>
      </c>
      <c r="J19">
        <v>16377467</v>
      </c>
      <c r="K19" t="e">
        <v>#N/A</v>
      </c>
    </row>
    <row r="20" spans="1:11" x14ac:dyDescent="0.25">
      <c r="A20" s="25">
        <v>16536358</v>
      </c>
      <c r="B20" s="26"/>
      <c r="C20" s="26">
        <v>20</v>
      </c>
      <c r="D20" s="26"/>
      <c r="E20" s="26"/>
      <c r="F20" s="26">
        <v>20</v>
      </c>
      <c r="G20" t="e">
        <f>+VLOOKUP(A20,Ruta!$K$38:$K$98,1,0)</f>
        <v>#N/A</v>
      </c>
      <c r="J20">
        <v>16536358</v>
      </c>
      <c r="K20" t="e">
        <v>#N/A</v>
      </c>
    </row>
    <row r="21" spans="1:11" x14ac:dyDescent="0.25">
      <c r="A21" s="25">
        <v>16545153</v>
      </c>
      <c r="B21" s="26"/>
      <c r="C21" s="26">
        <v>2</v>
      </c>
      <c r="D21" s="26"/>
      <c r="E21" s="26"/>
      <c r="F21" s="26">
        <v>2</v>
      </c>
      <c r="G21" t="e">
        <f>+VLOOKUP(A21,Ruta!$K$38:$K$98,1,0)</f>
        <v>#N/A</v>
      </c>
      <c r="J21">
        <v>16545153</v>
      </c>
      <c r="K21" t="e">
        <v>#N/A</v>
      </c>
    </row>
    <row r="22" spans="1:11" x14ac:dyDescent="0.25">
      <c r="A22" s="25">
        <v>16738410</v>
      </c>
      <c r="B22" s="26"/>
      <c r="C22" s="26"/>
      <c r="D22" s="26">
        <v>20</v>
      </c>
      <c r="E22" s="26"/>
      <c r="F22" s="26">
        <v>20</v>
      </c>
      <c r="G22" t="e">
        <f>+VLOOKUP(A22,Ruta!$K$38:$K$98,1,0)</f>
        <v>#N/A</v>
      </c>
      <c r="J22">
        <v>16738410</v>
      </c>
      <c r="K22" t="e">
        <v>#N/A</v>
      </c>
    </row>
    <row r="23" spans="1:11" x14ac:dyDescent="0.25">
      <c r="A23" s="25">
        <v>16796483</v>
      </c>
      <c r="B23" s="26">
        <v>4</v>
      </c>
      <c r="C23" s="26"/>
      <c r="D23" s="26"/>
      <c r="E23" s="26"/>
      <c r="F23" s="26">
        <v>4</v>
      </c>
      <c r="G23" t="e">
        <f>+VLOOKUP(A23,Ruta!$K$38:$K$98,1,0)</f>
        <v>#N/A</v>
      </c>
      <c r="J23">
        <v>16796483</v>
      </c>
      <c r="K23" t="e">
        <v>#N/A</v>
      </c>
    </row>
    <row r="24" spans="1:11" x14ac:dyDescent="0.25">
      <c r="A24" s="25">
        <v>21873936</v>
      </c>
      <c r="B24" s="26"/>
      <c r="C24" s="26">
        <v>2</v>
      </c>
      <c r="D24" s="26"/>
      <c r="E24" s="26"/>
      <c r="F24" s="26">
        <v>2</v>
      </c>
      <c r="G24" t="e">
        <f>+VLOOKUP(A24,Ruta!$K$38:$K$98,1,0)</f>
        <v>#N/A</v>
      </c>
      <c r="J24">
        <v>21873936</v>
      </c>
      <c r="K24" t="e">
        <v>#N/A</v>
      </c>
    </row>
    <row r="25" spans="1:11" x14ac:dyDescent="0.25">
      <c r="A25" s="25">
        <v>24720136</v>
      </c>
      <c r="B25" s="26">
        <v>2</v>
      </c>
      <c r="C25" s="26"/>
      <c r="D25" s="26"/>
      <c r="E25" s="26"/>
      <c r="F25" s="26">
        <v>2</v>
      </c>
      <c r="G25" t="e">
        <f>+VLOOKUP(A25,Ruta!$K$38:$K$98,1,0)</f>
        <v>#N/A</v>
      </c>
      <c r="J25">
        <v>24720136</v>
      </c>
      <c r="K25" t="e">
        <v>#N/A</v>
      </c>
    </row>
    <row r="26" spans="1:11" x14ac:dyDescent="0.25">
      <c r="A26" s="25">
        <v>25529383</v>
      </c>
      <c r="B26" s="26"/>
      <c r="C26" s="26">
        <v>2</v>
      </c>
      <c r="D26" s="26"/>
      <c r="E26" s="26"/>
      <c r="F26" s="26">
        <v>2</v>
      </c>
      <c r="G26" t="e">
        <f>+VLOOKUP(A26,Ruta!$K$38:$K$98,1,0)</f>
        <v>#N/A</v>
      </c>
      <c r="J26">
        <v>25529383</v>
      </c>
      <c r="K26" t="e">
        <v>#N/A</v>
      </c>
    </row>
    <row r="27" spans="1:11" x14ac:dyDescent="0.25">
      <c r="A27" s="25">
        <v>29108561</v>
      </c>
      <c r="B27" s="26">
        <v>4</v>
      </c>
      <c r="C27" s="26"/>
      <c r="D27" s="26"/>
      <c r="E27" s="26"/>
      <c r="F27" s="26">
        <v>4</v>
      </c>
      <c r="G27" t="e">
        <f>+VLOOKUP(A27,Ruta!$K$38:$K$98,1,0)</f>
        <v>#N/A</v>
      </c>
      <c r="J27">
        <v>29108561</v>
      </c>
      <c r="K27" t="e">
        <v>#N/A</v>
      </c>
    </row>
    <row r="28" spans="1:11" x14ac:dyDescent="0.25">
      <c r="A28" s="25">
        <v>29122250</v>
      </c>
      <c r="B28" s="26"/>
      <c r="C28" s="26">
        <v>20</v>
      </c>
      <c r="D28" s="26"/>
      <c r="E28" s="26"/>
      <c r="F28" s="26">
        <v>20</v>
      </c>
      <c r="G28" t="e">
        <f>+VLOOKUP(A28,Ruta!$K$38:$K$98,1,0)</f>
        <v>#N/A</v>
      </c>
      <c r="J28">
        <v>29122250</v>
      </c>
      <c r="K28" t="e">
        <v>#N/A</v>
      </c>
    </row>
    <row r="29" spans="1:11" x14ac:dyDescent="0.25">
      <c r="A29" s="25">
        <v>29124640</v>
      </c>
      <c r="B29" s="26">
        <v>2</v>
      </c>
      <c r="C29" s="26"/>
      <c r="D29" s="26"/>
      <c r="E29" s="26"/>
      <c r="F29" s="26">
        <v>2</v>
      </c>
      <c r="G29" t="e">
        <f>+VLOOKUP(A29,Ruta!$K$38:$K$98,1,0)</f>
        <v>#N/A</v>
      </c>
      <c r="J29">
        <v>29124640</v>
      </c>
      <c r="K29" t="e">
        <v>#N/A</v>
      </c>
    </row>
    <row r="30" spans="1:11" x14ac:dyDescent="0.25">
      <c r="A30" s="25">
        <v>29185357</v>
      </c>
      <c r="B30" s="26">
        <v>2</v>
      </c>
      <c r="C30" s="26"/>
      <c r="D30" s="26"/>
      <c r="E30" s="26"/>
      <c r="F30" s="26">
        <v>2</v>
      </c>
      <c r="G30" t="e">
        <f>+VLOOKUP(A30,Ruta!$K$38:$K$98,1,0)</f>
        <v>#N/A</v>
      </c>
      <c r="J30">
        <v>29185357</v>
      </c>
      <c r="K30" t="e">
        <v>#N/A</v>
      </c>
    </row>
    <row r="31" spans="1:11" x14ac:dyDescent="0.25">
      <c r="A31" s="25">
        <v>29495749</v>
      </c>
      <c r="B31" s="26"/>
      <c r="C31" s="26">
        <v>2</v>
      </c>
      <c r="D31" s="26"/>
      <c r="E31" s="26"/>
      <c r="F31" s="26">
        <v>2</v>
      </c>
      <c r="G31" t="e">
        <f>+VLOOKUP(A31,Ruta!$K$38:$K$98,1,0)</f>
        <v>#N/A</v>
      </c>
      <c r="J31">
        <v>29495749</v>
      </c>
      <c r="K31" t="e">
        <v>#N/A</v>
      </c>
    </row>
    <row r="32" spans="1:11" x14ac:dyDescent="0.25">
      <c r="A32" s="25">
        <v>29655305</v>
      </c>
      <c r="B32" s="26">
        <v>2</v>
      </c>
      <c r="C32" s="26"/>
      <c r="D32" s="26"/>
      <c r="E32" s="26"/>
      <c r="F32" s="26">
        <v>2</v>
      </c>
      <c r="G32" t="e">
        <f>+VLOOKUP(A32,Ruta!$K$38:$K$98,1,0)</f>
        <v>#N/A</v>
      </c>
      <c r="J32">
        <v>29655305</v>
      </c>
      <c r="K32" t="e">
        <v>#N/A</v>
      </c>
    </row>
    <row r="33" spans="1:11" x14ac:dyDescent="0.25">
      <c r="A33" s="25">
        <v>30306298</v>
      </c>
      <c r="B33" s="26"/>
      <c r="C33" s="26"/>
      <c r="D33" s="26">
        <v>20</v>
      </c>
      <c r="E33" s="26"/>
      <c r="F33" s="26">
        <v>20</v>
      </c>
      <c r="G33" t="e">
        <f>+VLOOKUP(A33,Ruta!$K$38:$K$98,1,0)</f>
        <v>#N/A</v>
      </c>
      <c r="J33">
        <v>30306298</v>
      </c>
      <c r="K33" t="e">
        <v>#N/A</v>
      </c>
    </row>
    <row r="34" spans="1:11" x14ac:dyDescent="0.25">
      <c r="A34" s="25">
        <v>31263536</v>
      </c>
      <c r="B34" s="26"/>
      <c r="C34" s="26">
        <v>2</v>
      </c>
      <c r="D34" s="26"/>
      <c r="E34" s="26"/>
      <c r="F34" s="26">
        <v>2</v>
      </c>
      <c r="G34" t="e">
        <f>+VLOOKUP(A34,Ruta!$K$38:$K$98,1,0)</f>
        <v>#N/A</v>
      </c>
      <c r="J34">
        <v>31263536</v>
      </c>
      <c r="K34" t="e">
        <v>#N/A</v>
      </c>
    </row>
    <row r="35" spans="1:11" x14ac:dyDescent="0.25">
      <c r="A35" s="25">
        <v>31483542</v>
      </c>
      <c r="B35" s="26"/>
      <c r="C35" s="26">
        <v>10</v>
      </c>
      <c r="D35" s="26"/>
      <c r="E35" s="26"/>
      <c r="F35" s="26">
        <v>10</v>
      </c>
      <c r="G35" t="e">
        <f>+VLOOKUP(A35,Ruta!$K$38:$K$98,1,0)</f>
        <v>#N/A</v>
      </c>
      <c r="J35">
        <v>31483542</v>
      </c>
      <c r="K35" t="e">
        <v>#N/A</v>
      </c>
    </row>
    <row r="36" spans="1:11" x14ac:dyDescent="0.25">
      <c r="A36" s="25">
        <v>31523227</v>
      </c>
      <c r="B36" s="26"/>
      <c r="C36" s="26">
        <v>2</v>
      </c>
      <c r="D36" s="26"/>
      <c r="E36" s="26"/>
      <c r="F36" s="26">
        <v>2</v>
      </c>
      <c r="G36" t="e">
        <f>+VLOOKUP(A36,Ruta!$K$38:$K$98,1,0)</f>
        <v>#N/A</v>
      </c>
      <c r="J36">
        <v>31523227</v>
      </c>
      <c r="K36" t="e">
        <v>#N/A</v>
      </c>
    </row>
    <row r="37" spans="1:11" x14ac:dyDescent="0.25">
      <c r="A37" s="25">
        <v>31533755</v>
      </c>
      <c r="B37" s="26"/>
      <c r="C37" s="26">
        <v>20</v>
      </c>
      <c r="D37" s="26"/>
      <c r="E37" s="26"/>
      <c r="F37" s="26">
        <v>20</v>
      </c>
      <c r="G37" t="e">
        <f>+VLOOKUP(A37,Ruta!$K$38:$K$98,1,0)</f>
        <v>#N/A</v>
      </c>
      <c r="J37">
        <v>31533755</v>
      </c>
      <c r="K37" t="e">
        <v>#N/A</v>
      </c>
    </row>
    <row r="38" spans="1:11" x14ac:dyDescent="0.25">
      <c r="A38" s="25">
        <v>31905517</v>
      </c>
      <c r="B38" s="26">
        <v>2</v>
      </c>
      <c r="C38" s="26"/>
      <c r="D38" s="26"/>
      <c r="E38" s="26"/>
      <c r="F38" s="26">
        <v>2</v>
      </c>
      <c r="G38" t="e">
        <f>+VLOOKUP(A38,Ruta!$K$38:$K$98,1,0)</f>
        <v>#N/A</v>
      </c>
      <c r="J38">
        <v>31905517</v>
      </c>
      <c r="K38" t="e">
        <v>#N/A</v>
      </c>
    </row>
    <row r="39" spans="1:11" x14ac:dyDescent="0.25">
      <c r="A39" s="25">
        <v>31971928</v>
      </c>
      <c r="B39" s="26">
        <v>20</v>
      </c>
      <c r="C39" s="26"/>
      <c r="D39" s="26"/>
      <c r="E39" s="26"/>
      <c r="F39" s="26">
        <v>20</v>
      </c>
      <c r="G39">
        <f>+VLOOKUP(A39,Ruta!$K$38:$K$98,1,0)</f>
        <v>31971928</v>
      </c>
      <c r="J39">
        <v>31971928</v>
      </c>
      <c r="K39">
        <v>31971928</v>
      </c>
    </row>
    <row r="40" spans="1:11" x14ac:dyDescent="0.25">
      <c r="A40" s="25">
        <v>38555629</v>
      </c>
      <c r="B40" s="26"/>
      <c r="C40" s="26">
        <v>20</v>
      </c>
      <c r="D40" s="26"/>
      <c r="E40" s="26"/>
      <c r="F40" s="26">
        <v>20</v>
      </c>
      <c r="G40" t="e">
        <f>+VLOOKUP(A40,Ruta!$K$38:$K$98,1,0)</f>
        <v>#N/A</v>
      </c>
      <c r="J40">
        <v>38555629</v>
      </c>
      <c r="K40" t="e">
        <v>#N/A</v>
      </c>
    </row>
    <row r="41" spans="1:11" x14ac:dyDescent="0.25">
      <c r="A41" s="25">
        <v>38644553</v>
      </c>
      <c r="B41" s="26"/>
      <c r="C41" s="26">
        <v>20</v>
      </c>
      <c r="D41" s="26"/>
      <c r="E41" s="26"/>
      <c r="F41" s="26">
        <v>20</v>
      </c>
      <c r="G41">
        <f>+VLOOKUP(A41,Ruta!$K$38:$K$98,1,0)</f>
        <v>38644553</v>
      </c>
      <c r="J41">
        <v>38644553</v>
      </c>
      <c r="K41">
        <v>38644553</v>
      </c>
    </row>
    <row r="42" spans="1:11" x14ac:dyDescent="0.25">
      <c r="A42" s="25">
        <v>38684955</v>
      </c>
      <c r="B42" s="26"/>
      <c r="C42" s="26">
        <v>20</v>
      </c>
      <c r="D42" s="26"/>
      <c r="E42" s="26"/>
      <c r="F42" s="26">
        <v>20</v>
      </c>
      <c r="G42" t="e">
        <f>+VLOOKUP(A42,Ruta!$K$38:$K$98,1,0)</f>
        <v>#N/A</v>
      </c>
      <c r="J42">
        <v>38684955</v>
      </c>
      <c r="K42" t="e">
        <v>#N/A</v>
      </c>
    </row>
    <row r="43" spans="1:11" x14ac:dyDescent="0.25">
      <c r="A43" s="25">
        <v>38989090</v>
      </c>
      <c r="B43" s="26"/>
      <c r="C43" s="26">
        <v>2</v>
      </c>
      <c r="D43" s="26"/>
      <c r="E43" s="26"/>
      <c r="F43" s="26">
        <v>2</v>
      </c>
      <c r="G43" t="e">
        <f>+VLOOKUP(A43,Ruta!$K$38:$K$98,1,0)</f>
        <v>#N/A</v>
      </c>
      <c r="J43">
        <v>38989090</v>
      </c>
      <c r="K43" t="e">
        <v>#N/A</v>
      </c>
    </row>
    <row r="44" spans="1:11" x14ac:dyDescent="0.25">
      <c r="A44" s="25">
        <v>42116594</v>
      </c>
      <c r="B44" s="26">
        <v>10</v>
      </c>
      <c r="C44" s="26"/>
      <c r="D44" s="26"/>
      <c r="E44" s="26"/>
      <c r="F44" s="26">
        <v>10</v>
      </c>
      <c r="G44">
        <f>+VLOOKUP(A44,Ruta!$K$38:$K$98,1,0)</f>
        <v>42116594</v>
      </c>
      <c r="J44">
        <v>42116594</v>
      </c>
      <c r="K44" t="e">
        <v>#N/A</v>
      </c>
    </row>
    <row r="45" spans="1:11" x14ac:dyDescent="0.25">
      <c r="A45" s="25">
        <v>43475437</v>
      </c>
      <c r="B45" s="26"/>
      <c r="C45" s="26">
        <v>10</v>
      </c>
      <c r="D45" s="26"/>
      <c r="E45" s="26"/>
      <c r="F45" s="26">
        <v>10</v>
      </c>
      <c r="G45" t="e">
        <f>+VLOOKUP(A45,Ruta!$K$38:$K$98,1,0)</f>
        <v>#N/A</v>
      </c>
      <c r="J45">
        <v>43475437</v>
      </c>
      <c r="K45" t="e">
        <v>#N/A</v>
      </c>
    </row>
    <row r="46" spans="1:11" x14ac:dyDescent="0.25">
      <c r="A46" s="25">
        <v>43642694</v>
      </c>
      <c r="B46" s="26">
        <v>20</v>
      </c>
      <c r="C46" s="26"/>
      <c r="D46" s="26"/>
      <c r="E46" s="26"/>
      <c r="F46" s="26">
        <v>20</v>
      </c>
      <c r="G46" t="e">
        <f>+VLOOKUP(A46,Ruta!$K$38:$K$98,1,0)</f>
        <v>#N/A</v>
      </c>
      <c r="J46">
        <v>43642694</v>
      </c>
      <c r="K46" t="e">
        <v>#N/A</v>
      </c>
    </row>
    <row r="47" spans="1:11" x14ac:dyDescent="0.25">
      <c r="A47" s="25">
        <v>66978529</v>
      </c>
      <c r="B47" s="26"/>
      <c r="C47" s="26">
        <v>20</v>
      </c>
      <c r="D47" s="26"/>
      <c r="E47" s="26"/>
      <c r="F47" s="26">
        <v>20</v>
      </c>
      <c r="G47" t="e">
        <f>+VLOOKUP(A47,Ruta!$K$38:$K$98,1,0)</f>
        <v>#N/A</v>
      </c>
      <c r="J47">
        <v>66978529</v>
      </c>
      <c r="K47" t="e">
        <v>#N/A</v>
      </c>
    </row>
    <row r="48" spans="1:11" x14ac:dyDescent="0.25">
      <c r="A48" s="25">
        <v>66993437</v>
      </c>
      <c r="B48" s="26"/>
      <c r="C48" s="26">
        <v>4</v>
      </c>
      <c r="D48" s="26"/>
      <c r="E48" s="26"/>
      <c r="F48" s="26">
        <v>4</v>
      </c>
      <c r="G48">
        <f>+VLOOKUP(A48,Ruta!$K$38:$K$98,1,0)</f>
        <v>66993437</v>
      </c>
      <c r="J48">
        <v>66993437</v>
      </c>
      <c r="K48" t="e">
        <v>#N/A</v>
      </c>
    </row>
    <row r="49" spans="1:11" x14ac:dyDescent="0.25">
      <c r="A49" s="25">
        <v>67002900</v>
      </c>
      <c r="B49" s="26"/>
      <c r="C49" s="26">
        <v>20</v>
      </c>
      <c r="D49" s="26"/>
      <c r="E49" s="26"/>
      <c r="F49" s="26">
        <v>20</v>
      </c>
      <c r="G49" t="e">
        <f>+VLOOKUP(A49,Ruta!$K$38:$K$98,1,0)</f>
        <v>#N/A</v>
      </c>
      <c r="J49">
        <v>67002900</v>
      </c>
      <c r="K49" t="e">
        <v>#N/A</v>
      </c>
    </row>
    <row r="50" spans="1:11" x14ac:dyDescent="0.25">
      <c r="A50" s="25">
        <v>67003801</v>
      </c>
      <c r="B50" s="26"/>
      <c r="C50" s="26">
        <v>10</v>
      </c>
      <c r="D50" s="26"/>
      <c r="E50" s="26"/>
      <c r="F50" s="26">
        <v>10</v>
      </c>
      <c r="G50" t="e">
        <f>+VLOOKUP(A50,Ruta!$K$38:$K$98,1,0)</f>
        <v>#N/A</v>
      </c>
      <c r="J50">
        <v>67003801</v>
      </c>
      <c r="K50" t="e">
        <v>#N/A</v>
      </c>
    </row>
    <row r="51" spans="1:11" x14ac:dyDescent="0.25">
      <c r="A51" s="25">
        <v>67026466</v>
      </c>
      <c r="B51" s="26">
        <v>2</v>
      </c>
      <c r="C51" s="26"/>
      <c r="D51" s="26"/>
      <c r="E51" s="26"/>
      <c r="F51" s="26">
        <v>2</v>
      </c>
      <c r="G51" t="e">
        <f>+VLOOKUP(A51,Ruta!$K$38:$K$98,1,0)</f>
        <v>#N/A</v>
      </c>
      <c r="J51">
        <v>67026466</v>
      </c>
      <c r="K51" t="e">
        <v>#N/A</v>
      </c>
    </row>
    <row r="52" spans="1:11" x14ac:dyDescent="0.25">
      <c r="A52" s="25">
        <v>70386383</v>
      </c>
      <c r="B52" s="26"/>
      <c r="C52" s="26">
        <v>2</v>
      </c>
      <c r="D52" s="26"/>
      <c r="E52" s="26"/>
      <c r="F52" s="26">
        <v>2</v>
      </c>
      <c r="G52" t="e">
        <f>+VLOOKUP(A52,Ruta!$K$38:$K$98,1,0)</f>
        <v>#N/A</v>
      </c>
      <c r="J52">
        <v>70386383</v>
      </c>
      <c r="K52" t="e">
        <v>#N/A</v>
      </c>
    </row>
    <row r="53" spans="1:11" x14ac:dyDescent="0.25">
      <c r="A53" s="25">
        <v>70753695</v>
      </c>
      <c r="B53" s="26"/>
      <c r="C53" s="26">
        <v>20</v>
      </c>
      <c r="D53" s="26"/>
      <c r="E53" s="26"/>
      <c r="F53" s="26">
        <v>20</v>
      </c>
      <c r="G53" t="e">
        <f>+VLOOKUP(A53,Ruta!$K$38:$K$98,1,0)</f>
        <v>#N/A</v>
      </c>
      <c r="J53">
        <v>70753695</v>
      </c>
      <c r="K53" t="e">
        <v>#N/A</v>
      </c>
    </row>
    <row r="54" spans="1:11" x14ac:dyDescent="0.25">
      <c r="A54" s="25">
        <v>70828284</v>
      </c>
      <c r="B54" s="26"/>
      <c r="C54" s="26">
        <v>2</v>
      </c>
      <c r="D54" s="26"/>
      <c r="E54" s="26"/>
      <c r="F54" s="26">
        <v>2</v>
      </c>
      <c r="G54" t="e">
        <f>+VLOOKUP(A54,Ruta!$K$38:$K$98,1,0)</f>
        <v>#N/A</v>
      </c>
      <c r="J54">
        <v>70828284</v>
      </c>
      <c r="K54" t="e">
        <v>#N/A</v>
      </c>
    </row>
    <row r="55" spans="1:11" x14ac:dyDescent="0.25">
      <c r="A55" s="25">
        <v>71142237</v>
      </c>
      <c r="B55" s="26">
        <v>4</v>
      </c>
      <c r="C55" s="26"/>
      <c r="D55" s="26"/>
      <c r="E55" s="26"/>
      <c r="F55" s="26">
        <v>4</v>
      </c>
      <c r="G55" t="e">
        <f>+VLOOKUP(A55,Ruta!$K$38:$K$98,1,0)</f>
        <v>#N/A</v>
      </c>
      <c r="J55">
        <v>71142237</v>
      </c>
      <c r="K55" t="e">
        <v>#N/A</v>
      </c>
    </row>
    <row r="56" spans="1:11" x14ac:dyDescent="0.25">
      <c r="A56" s="25">
        <v>71371926</v>
      </c>
      <c r="B56" s="26"/>
      <c r="C56" s="26">
        <v>20</v>
      </c>
      <c r="D56" s="26"/>
      <c r="E56" s="26"/>
      <c r="F56" s="26">
        <v>20</v>
      </c>
      <c r="G56">
        <f>+VLOOKUP(A56,Ruta!$K$38:$K$98,1,0)</f>
        <v>71371926</v>
      </c>
      <c r="J56">
        <v>71371926</v>
      </c>
      <c r="K56">
        <v>71371926</v>
      </c>
    </row>
    <row r="57" spans="1:11" x14ac:dyDescent="0.25">
      <c r="A57" s="25">
        <v>94071006</v>
      </c>
      <c r="B57" s="26"/>
      <c r="C57" s="26">
        <v>20</v>
      </c>
      <c r="D57" s="26"/>
      <c r="E57" s="26"/>
      <c r="F57" s="26">
        <v>20</v>
      </c>
      <c r="G57" t="e">
        <f>+VLOOKUP(A57,Ruta!$K$38:$K$98,1,0)</f>
        <v>#N/A</v>
      </c>
      <c r="J57">
        <v>94071006</v>
      </c>
      <c r="K57" t="e">
        <v>#N/A</v>
      </c>
    </row>
    <row r="58" spans="1:11" x14ac:dyDescent="0.25">
      <c r="A58" s="25">
        <v>94193276</v>
      </c>
      <c r="B58" s="26">
        <v>2</v>
      </c>
      <c r="C58" s="26"/>
      <c r="D58" s="26"/>
      <c r="E58" s="26"/>
      <c r="F58" s="26">
        <v>2</v>
      </c>
      <c r="G58" t="e">
        <f>+VLOOKUP(A58,Ruta!$K$38:$K$98,1,0)</f>
        <v>#N/A</v>
      </c>
      <c r="J58">
        <v>94193276</v>
      </c>
      <c r="K58" t="e">
        <v>#N/A</v>
      </c>
    </row>
    <row r="59" spans="1:11" x14ac:dyDescent="0.25">
      <c r="A59" s="25">
        <v>94386842</v>
      </c>
      <c r="B59" s="26"/>
      <c r="C59" s="26">
        <v>2</v>
      </c>
      <c r="D59" s="26"/>
      <c r="E59" s="26"/>
      <c r="F59" s="26">
        <v>2</v>
      </c>
      <c r="G59" t="e">
        <f>+VLOOKUP(A59,Ruta!$K$38:$K$98,1,0)</f>
        <v>#N/A</v>
      </c>
      <c r="J59">
        <v>94386842</v>
      </c>
      <c r="K59" t="e">
        <v>#N/A</v>
      </c>
    </row>
    <row r="60" spans="1:11" x14ac:dyDescent="0.25">
      <c r="A60" s="25">
        <v>94400940</v>
      </c>
      <c r="B60" s="26"/>
      <c r="C60" s="26">
        <v>2</v>
      </c>
      <c r="D60" s="26"/>
      <c r="E60" s="26"/>
      <c r="F60" s="26">
        <v>2</v>
      </c>
      <c r="G60" t="e">
        <f>+VLOOKUP(A60,Ruta!$K$38:$K$98,1,0)</f>
        <v>#N/A</v>
      </c>
      <c r="J60">
        <v>94400940</v>
      </c>
      <c r="K60" t="e">
        <v>#N/A</v>
      </c>
    </row>
    <row r="61" spans="1:11" x14ac:dyDescent="0.25">
      <c r="A61" s="25">
        <v>94417963</v>
      </c>
      <c r="B61" s="26"/>
      <c r="C61" s="26">
        <v>2</v>
      </c>
      <c r="D61" s="26"/>
      <c r="E61" s="26"/>
      <c r="F61" s="26">
        <v>2</v>
      </c>
      <c r="G61" t="e">
        <f>+VLOOKUP(A61,Ruta!$K$38:$K$98,1,0)</f>
        <v>#N/A</v>
      </c>
      <c r="J61">
        <v>94417963</v>
      </c>
      <c r="K61" t="e">
        <v>#N/A</v>
      </c>
    </row>
    <row r="62" spans="1:11" x14ac:dyDescent="0.25">
      <c r="A62" s="25">
        <v>94422261</v>
      </c>
      <c r="B62" s="26"/>
      <c r="C62" s="26">
        <v>2</v>
      </c>
      <c r="D62" s="26"/>
      <c r="E62" s="26"/>
      <c r="F62" s="26">
        <v>2</v>
      </c>
      <c r="G62" t="e">
        <f>+VLOOKUP(A62,Ruta!$K$38:$K$98,1,0)</f>
        <v>#N/A</v>
      </c>
      <c r="J62">
        <v>94422261</v>
      </c>
      <c r="K62" t="e">
        <v>#N/A</v>
      </c>
    </row>
    <row r="63" spans="1:11" x14ac:dyDescent="0.25">
      <c r="A63" s="25">
        <v>94506728</v>
      </c>
      <c r="B63" s="26"/>
      <c r="C63" s="26">
        <v>2</v>
      </c>
      <c r="D63" s="26"/>
      <c r="E63" s="26"/>
      <c r="F63" s="26">
        <v>2</v>
      </c>
      <c r="G63" t="e">
        <f>+VLOOKUP(A63,Ruta!$K$38:$K$98,1,0)</f>
        <v>#N/A</v>
      </c>
      <c r="J63">
        <v>94506728</v>
      </c>
      <c r="K63" t="e">
        <v>#N/A</v>
      </c>
    </row>
    <row r="64" spans="1:11" x14ac:dyDescent="0.25">
      <c r="A64" s="25">
        <v>94517200</v>
      </c>
      <c r="B64" s="26"/>
      <c r="C64" s="26">
        <v>4</v>
      </c>
      <c r="D64" s="26"/>
      <c r="E64" s="26"/>
      <c r="F64" s="26">
        <v>4</v>
      </c>
      <c r="G64">
        <f>+VLOOKUP(A64,Ruta!$K$38:$K$98,1,0)</f>
        <v>94517200</v>
      </c>
      <c r="J64">
        <v>94517200</v>
      </c>
      <c r="K64">
        <v>94517200</v>
      </c>
    </row>
    <row r="65" spans="1:11" x14ac:dyDescent="0.25">
      <c r="A65" s="25">
        <v>94543390</v>
      </c>
      <c r="B65" s="26"/>
      <c r="C65" s="26">
        <v>20</v>
      </c>
      <c r="D65" s="26"/>
      <c r="E65" s="26"/>
      <c r="F65" s="26">
        <v>20</v>
      </c>
      <c r="G65">
        <f>+VLOOKUP(A65,Ruta!$K$38:$K$98,1,0)</f>
        <v>94543390</v>
      </c>
      <c r="J65">
        <v>94543390</v>
      </c>
      <c r="K65">
        <v>94543390</v>
      </c>
    </row>
    <row r="66" spans="1:11" x14ac:dyDescent="0.25">
      <c r="A66" s="25">
        <v>901235591</v>
      </c>
      <c r="B66" s="26"/>
      <c r="C66" s="26">
        <v>20</v>
      </c>
      <c r="D66" s="26">
        <v>10</v>
      </c>
      <c r="E66" s="26"/>
      <c r="F66" s="26">
        <v>30</v>
      </c>
      <c r="G66" t="e">
        <f>+VLOOKUP(A66,Ruta!$K$38:$K$98,1,0)</f>
        <v>#N/A</v>
      </c>
      <c r="J66">
        <v>901235591</v>
      </c>
      <c r="K66" t="e">
        <v>#N/A</v>
      </c>
    </row>
    <row r="67" spans="1:11" x14ac:dyDescent="0.25">
      <c r="A67" s="25">
        <v>967023320</v>
      </c>
      <c r="B67" s="26"/>
      <c r="C67" s="26">
        <v>2</v>
      </c>
      <c r="D67" s="26"/>
      <c r="E67" s="26"/>
      <c r="F67" s="26">
        <v>2</v>
      </c>
      <c r="G67">
        <f>+VLOOKUP(A67,Ruta!$K$38:$K$98,1,0)</f>
        <v>967023320</v>
      </c>
      <c r="J67">
        <v>967023320</v>
      </c>
      <c r="K67">
        <v>967023320</v>
      </c>
    </row>
    <row r="68" spans="1:11" x14ac:dyDescent="0.25">
      <c r="A68" s="25">
        <v>1024518932</v>
      </c>
      <c r="B68" s="26"/>
      <c r="C68" s="26">
        <v>20</v>
      </c>
      <c r="D68" s="26"/>
      <c r="E68" s="26"/>
      <c r="F68" s="26">
        <v>20</v>
      </c>
      <c r="G68" t="e">
        <f>+VLOOKUP(A68,Ruta!$K$38:$K$98,1,0)</f>
        <v>#N/A</v>
      </c>
      <c r="J68">
        <v>1024518932</v>
      </c>
      <c r="K68" t="e">
        <v>#N/A</v>
      </c>
    </row>
    <row r="69" spans="1:11" x14ac:dyDescent="0.25">
      <c r="A69" s="25">
        <v>1032363617</v>
      </c>
      <c r="B69" s="26"/>
      <c r="C69" s="26">
        <v>20</v>
      </c>
      <c r="D69" s="26"/>
      <c r="E69" s="26"/>
      <c r="F69" s="26">
        <v>20</v>
      </c>
      <c r="G69">
        <f>+VLOOKUP(A69,Ruta!$K$38:$K$98,1,0)</f>
        <v>1032363617</v>
      </c>
      <c r="J69">
        <v>1032363617</v>
      </c>
      <c r="K69">
        <v>1032363617</v>
      </c>
    </row>
    <row r="70" spans="1:11" x14ac:dyDescent="0.25">
      <c r="A70" s="25">
        <v>1041328694</v>
      </c>
      <c r="B70" s="26"/>
      <c r="C70" s="26">
        <v>20</v>
      </c>
      <c r="D70" s="26"/>
      <c r="E70" s="26"/>
      <c r="F70" s="26">
        <v>20</v>
      </c>
      <c r="G70" t="e">
        <f>+VLOOKUP(A70,Ruta!$K$38:$K$98,1,0)</f>
        <v>#N/A</v>
      </c>
      <c r="J70">
        <v>1041328694</v>
      </c>
      <c r="K70" t="e">
        <v>#N/A</v>
      </c>
    </row>
    <row r="71" spans="1:11" x14ac:dyDescent="0.25">
      <c r="A71" s="25">
        <v>1047410654</v>
      </c>
      <c r="B71" s="26"/>
      <c r="C71" s="26">
        <v>10</v>
      </c>
      <c r="D71" s="26"/>
      <c r="E71" s="26"/>
      <c r="F71" s="26">
        <v>10</v>
      </c>
      <c r="G71" t="e">
        <f>+VLOOKUP(A71,Ruta!$K$38:$K$98,1,0)</f>
        <v>#N/A</v>
      </c>
      <c r="J71">
        <v>1047410654</v>
      </c>
      <c r="K71" t="e">
        <v>#N/A</v>
      </c>
    </row>
    <row r="72" spans="1:11" x14ac:dyDescent="0.25">
      <c r="A72" s="25">
        <v>1058843345</v>
      </c>
      <c r="B72" s="26"/>
      <c r="C72" s="26">
        <v>2</v>
      </c>
      <c r="D72" s="26"/>
      <c r="E72" s="26"/>
      <c r="F72" s="26">
        <v>2</v>
      </c>
      <c r="G72" t="e">
        <f>+VLOOKUP(A72,Ruta!$K$38:$K$98,1,0)</f>
        <v>#N/A</v>
      </c>
      <c r="J72">
        <v>1058843345</v>
      </c>
      <c r="K72" t="e">
        <v>#N/A</v>
      </c>
    </row>
    <row r="73" spans="1:11" x14ac:dyDescent="0.25">
      <c r="A73" s="25">
        <v>1098337533</v>
      </c>
      <c r="B73" s="26">
        <v>4</v>
      </c>
      <c r="C73" s="26"/>
      <c r="D73" s="26"/>
      <c r="E73" s="26"/>
      <c r="F73" s="26">
        <v>4</v>
      </c>
      <c r="G73" t="e">
        <f>+VLOOKUP(A73,Ruta!$K$38:$K$98,1,0)</f>
        <v>#N/A</v>
      </c>
      <c r="J73">
        <v>1098337533</v>
      </c>
      <c r="K73" t="e">
        <v>#N/A</v>
      </c>
    </row>
    <row r="74" spans="1:11" x14ac:dyDescent="0.25">
      <c r="A74" s="25">
        <v>1113068055</v>
      </c>
      <c r="B74" s="26">
        <v>2</v>
      </c>
      <c r="C74" s="26"/>
      <c r="D74" s="26"/>
      <c r="E74" s="26"/>
      <c r="F74" s="26">
        <v>2</v>
      </c>
      <c r="G74" t="e">
        <f>+VLOOKUP(A74,Ruta!$K$38:$K$98,1,0)</f>
        <v>#N/A</v>
      </c>
      <c r="J74">
        <v>1113068055</v>
      </c>
      <c r="K74" t="e">
        <v>#N/A</v>
      </c>
    </row>
    <row r="75" spans="1:11" x14ac:dyDescent="0.25">
      <c r="A75" s="25">
        <v>1118296911</v>
      </c>
      <c r="B75" s="26">
        <v>2</v>
      </c>
      <c r="C75" s="26"/>
      <c r="D75" s="26"/>
      <c r="E75" s="26"/>
      <c r="F75" s="26">
        <v>2</v>
      </c>
      <c r="G75">
        <f>+VLOOKUP(A75,Ruta!$K$38:$K$98,1,0)</f>
        <v>1118296911</v>
      </c>
      <c r="J75">
        <v>1118296911</v>
      </c>
      <c r="K75">
        <v>1118296911</v>
      </c>
    </row>
    <row r="76" spans="1:11" x14ac:dyDescent="0.25">
      <c r="A76" s="25">
        <v>1130590173</v>
      </c>
      <c r="B76" s="26"/>
      <c r="C76" s="26">
        <v>4</v>
      </c>
      <c r="D76" s="26"/>
      <c r="E76" s="26"/>
      <c r="F76" s="26">
        <v>4</v>
      </c>
      <c r="G76" t="e">
        <f>+VLOOKUP(A76,Ruta!$K$38:$K$98,1,0)</f>
        <v>#N/A</v>
      </c>
      <c r="J76">
        <v>1130590173</v>
      </c>
      <c r="K76" t="e">
        <v>#N/A</v>
      </c>
    </row>
    <row r="77" spans="1:11" x14ac:dyDescent="0.25">
      <c r="A77" s="25">
        <v>1130591583</v>
      </c>
      <c r="B77" s="26"/>
      <c r="C77" s="26">
        <v>4</v>
      </c>
      <c r="D77" s="26"/>
      <c r="E77" s="26"/>
      <c r="F77" s="26">
        <v>4</v>
      </c>
      <c r="G77">
        <f>+VLOOKUP(A77,Ruta!$K$38:$K$98,1,0)</f>
        <v>1130591583</v>
      </c>
      <c r="J77">
        <v>1130591583</v>
      </c>
      <c r="K77">
        <v>1130591583</v>
      </c>
    </row>
    <row r="78" spans="1:11" x14ac:dyDescent="0.25">
      <c r="A78" s="25">
        <v>1130598374</v>
      </c>
      <c r="B78" s="26"/>
      <c r="C78" s="26">
        <v>10</v>
      </c>
      <c r="D78" s="26"/>
      <c r="E78" s="26"/>
      <c r="F78" s="26">
        <v>10</v>
      </c>
      <c r="G78" t="e">
        <f>+VLOOKUP(A78,Ruta!$K$38:$K$98,1,0)</f>
        <v>#N/A</v>
      </c>
      <c r="J78">
        <v>1130598374</v>
      </c>
      <c r="K78" t="e">
        <v>#N/A</v>
      </c>
    </row>
    <row r="79" spans="1:11" x14ac:dyDescent="0.25">
      <c r="A79" s="25">
        <v>1130656816</v>
      </c>
      <c r="B79" s="26">
        <v>4</v>
      </c>
      <c r="C79" s="26"/>
      <c r="D79" s="26"/>
      <c r="E79" s="26"/>
      <c r="F79" s="26">
        <v>4</v>
      </c>
      <c r="G79">
        <f>+VLOOKUP(A79,Ruta!$K$38:$K$98,1,0)</f>
        <v>1130656816</v>
      </c>
      <c r="J79">
        <v>1130656816</v>
      </c>
      <c r="K79">
        <v>1130656816</v>
      </c>
    </row>
    <row r="80" spans="1:11" x14ac:dyDescent="0.25">
      <c r="A80" s="25">
        <v>1130679015</v>
      </c>
      <c r="B80" s="26"/>
      <c r="C80" s="26">
        <v>2</v>
      </c>
      <c r="D80" s="26"/>
      <c r="E80" s="26"/>
      <c r="F80" s="26">
        <v>2</v>
      </c>
      <c r="G80">
        <f>+VLOOKUP(A80,Ruta!$K$38:$K$98,1,0)</f>
        <v>1130679015</v>
      </c>
      <c r="J80">
        <v>1130679015</v>
      </c>
      <c r="K80" t="e">
        <v>#N/A</v>
      </c>
    </row>
    <row r="81" spans="1:11" x14ac:dyDescent="0.25">
      <c r="A81" s="25">
        <v>1143830559</v>
      </c>
      <c r="B81" s="26"/>
      <c r="C81" s="26">
        <v>2</v>
      </c>
      <c r="D81" s="26"/>
      <c r="E81" s="26"/>
      <c r="F81" s="26">
        <v>2</v>
      </c>
      <c r="G81" t="e">
        <f>+VLOOKUP(A81,Ruta!$K$38:$K$98,1,0)</f>
        <v>#N/A</v>
      </c>
      <c r="J81">
        <v>1143830559</v>
      </c>
      <c r="K81" t="e">
        <v>#N/A</v>
      </c>
    </row>
    <row r="82" spans="1:11" x14ac:dyDescent="0.25">
      <c r="A82" s="25">
        <v>1143848323</v>
      </c>
      <c r="B82" s="26">
        <v>2</v>
      </c>
      <c r="C82" s="26"/>
      <c r="D82" s="26"/>
      <c r="E82" s="26"/>
      <c r="F82" s="26">
        <v>2</v>
      </c>
      <c r="G82" t="e">
        <f>+VLOOKUP(A82,Ruta!$K$38:$K$98,1,0)</f>
        <v>#N/A</v>
      </c>
      <c r="J82">
        <v>1143848323</v>
      </c>
      <c r="K82" t="e">
        <v>#N/A</v>
      </c>
    </row>
    <row r="83" spans="1:11" x14ac:dyDescent="0.25">
      <c r="A83" s="25">
        <v>1143856219</v>
      </c>
      <c r="B83" s="26">
        <v>2</v>
      </c>
      <c r="C83" s="26"/>
      <c r="D83" s="26"/>
      <c r="E83" s="26"/>
      <c r="F83" s="26">
        <v>2</v>
      </c>
      <c r="G83" t="e">
        <f>+VLOOKUP(A83,Ruta!$K$38:$K$98,1,0)</f>
        <v>#N/A</v>
      </c>
      <c r="J83">
        <v>1143856219</v>
      </c>
      <c r="K83" t="e">
        <v>#N/A</v>
      </c>
    </row>
    <row r="84" spans="1:11" x14ac:dyDescent="0.25">
      <c r="A84" s="25">
        <v>1143981647</v>
      </c>
      <c r="B84" s="26">
        <v>10</v>
      </c>
      <c r="C84" s="26"/>
      <c r="D84" s="26"/>
      <c r="E84" s="26"/>
      <c r="F84" s="26">
        <v>10</v>
      </c>
      <c r="G84" t="e">
        <f>+VLOOKUP(A84,Ruta!$K$38:$K$98,1,0)</f>
        <v>#N/A</v>
      </c>
      <c r="J84">
        <v>1143981647</v>
      </c>
      <c r="K84" t="e">
        <v>#N/A</v>
      </c>
    </row>
    <row r="85" spans="1:11" x14ac:dyDescent="0.25">
      <c r="A85" s="25">
        <v>1144025746</v>
      </c>
      <c r="B85" s="26"/>
      <c r="C85" s="26">
        <v>4</v>
      </c>
      <c r="D85" s="26"/>
      <c r="E85" s="26"/>
      <c r="F85" s="26">
        <v>4</v>
      </c>
      <c r="G85" t="e">
        <f>+VLOOKUP(A85,Ruta!$K$38:$K$98,1,0)</f>
        <v>#N/A</v>
      </c>
      <c r="J85">
        <v>1144025746</v>
      </c>
      <c r="K85" t="e">
        <v>#N/A</v>
      </c>
    </row>
    <row r="86" spans="1:11" x14ac:dyDescent="0.25">
      <c r="A86" s="25">
        <v>1144073992</v>
      </c>
      <c r="B86" s="26"/>
      <c r="C86" s="26">
        <v>4</v>
      </c>
      <c r="D86" s="26"/>
      <c r="E86" s="26"/>
      <c r="F86" s="26">
        <v>4</v>
      </c>
      <c r="G86" t="e">
        <f>+VLOOKUP(A86,Ruta!$K$38:$K$98,1,0)</f>
        <v>#N/A</v>
      </c>
      <c r="J86">
        <v>1144073992</v>
      </c>
      <c r="K86" t="e">
        <v>#N/A</v>
      </c>
    </row>
    <row r="87" spans="1:11" x14ac:dyDescent="0.25">
      <c r="A87" s="25">
        <v>1151943206</v>
      </c>
      <c r="B87" s="26"/>
      <c r="C87" s="26">
        <v>20</v>
      </c>
      <c r="D87" s="26"/>
      <c r="E87" s="26"/>
      <c r="F87" s="26">
        <v>20</v>
      </c>
      <c r="G87" t="e">
        <f>+VLOOKUP(A87,Ruta!$K$38:$K$98,1,0)</f>
        <v>#N/A</v>
      </c>
      <c r="J87">
        <v>1151943206</v>
      </c>
      <c r="K87" t="e">
        <v>#N/A</v>
      </c>
    </row>
    <row r="88" spans="1:11" x14ac:dyDescent="0.25">
      <c r="A88" s="25" t="s">
        <v>564</v>
      </c>
      <c r="B88" s="26"/>
      <c r="C88" s="26"/>
      <c r="D88" s="26"/>
      <c r="E88" s="26"/>
      <c r="F88" s="26"/>
    </row>
    <row r="89" spans="1:11" x14ac:dyDescent="0.25">
      <c r="A89" s="25" t="s">
        <v>562</v>
      </c>
      <c r="B89" s="26">
        <v>108</v>
      </c>
      <c r="C89" s="26">
        <v>514</v>
      </c>
      <c r="D89" s="26">
        <v>60</v>
      </c>
      <c r="E89" s="26"/>
      <c r="F89" s="26">
        <v>682</v>
      </c>
    </row>
  </sheetData>
  <autoFilter ref="J4:K87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5"/>
  <sheetViews>
    <sheetView topLeftCell="A65" workbookViewId="0">
      <selection activeCell="K1" sqref="K1"/>
    </sheetView>
  </sheetViews>
  <sheetFormatPr baseColWidth="10" defaultRowHeight="15" x14ac:dyDescent="0.25"/>
  <cols>
    <col min="7" max="7" width="19.42578125" bestFit="1" customWidth="1"/>
    <col min="8" max="8" width="20.42578125" bestFit="1" customWidth="1"/>
    <col min="9" max="9" width="21.42578125" bestFit="1" customWidth="1"/>
  </cols>
  <sheetData>
    <row r="1" spans="1:11" x14ac:dyDescent="0.25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K1" t="s">
        <v>343</v>
      </c>
    </row>
    <row r="2" spans="1:11" x14ac:dyDescent="0.25">
      <c r="A2" t="s">
        <v>518</v>
      </c>
      <c r="B2" t="s">
        <v>391</v>
      </c>
      <c r="C2">
        <v>31971928</v>
      </c>
      <c r="D2" t="s">
        <v>519</v>
      </c>
      <c r="E2" t="str">
        <f t="shared" ref="E2:E33" si="0">+MID(D2,1,11)</f>
        <v xml:space="preserve">2020/05/02 </v>
      </c>
      <c r="F2">
        <v>1</v>
      </c>
      <c r="J2">
        <v>20</v>
      </c>
      <c r="K2">
        <f>+SUM(G2:J2)</f>
        <v>20</v>
      </c>
    </row>
    <row r="3" spans="1:11" x14ac:dyDescent="0.25">
      <c r="A3" t="s">
        <v>520</v>
      </c>
      <c r="B3" t="s">
        <v>452</v>
      </c>
      <c r="C3">
        <v>29655305</v>
      </c>
      <c r="D3" t="s">
        <v>521</v>
      </c>
      <c r="E3" t="str">
        <f t="shared" si="0"/>
        <v xml:space="preserve">2020/04/29 </v>
      </c>
      <c r="F3">
        <v>1</v>
      </c>
      <c r="G3">
        <v>2</v>
      </c>
      <c r="K3">
        <f t="shared" ref="K3:K66" si="1">+SUM(G3:J3)</f>
        <v>2</v>
      </c>
    </row>
    <row r="4" spans="1:11" x14ac:dyDescent="0.25">
      <c r="A4" t="s">
        <v>522</v>
      </c>
      <c r="B4" t="s">
        <v>452</v>
      </c>
      <c r="C4">
        <v>1143848323</v>
      </c>
      <c r="D4" t="s">
        <v>523</v>
      </c>
      <c r="E4" t="str">
        <f t="shared" si="0"/>
        <v xml:space="preserve">2020/04/29 </v>
      </c>
      <c r="F4">
        <v>1</v>
      </c>
      <c r="G4">
        <v>2</v>
      </c>
      <c r="K4">
        <f t="shared" si="1"/>
        <v>2</v>
      </c>
    </row>
    <row r="5" spans="1:11" x14ac:dyDescent="0.25">
      <c r="A5" t="s">
        <v>524</v>
      </c>
      <c r="B5" t="s">
        <v>452</v>
      </c>
      <c r="C5">
        <v>10517213</v>
      </c>
      <c r="D5" t="s">
        <v>525</v>
      </c>
      <c r="E5" t="str">
        <f t="shared" si="0"/>
        <v xml:space="preserve">2020/04/28 </v>
      </c>
      <c r="F5">
        <v>1</v>
      </c>
      <c r="G5">
        <v>2</v>
      </c>
      <c r="K5">
        <f t="shared" si="1"/>
        <v>2</v>
      </c>
    </row>
    <row r="6" spans="1:11" x14ac:dyDescent="0.25">
      <c r="A6" t="s">
        <v>526</v>
      </c>
      <c r="B6" t="s">
        <v>402</v>
      </c>
      <c r="C6">
        <v>3494086</v>
      </c>
      <c r="D6" t="s">
        <v>527</v>
      </c>
      <c r="E6" t="str">
        <f t="shared" si="0"/>
        <v xml:space="preserve">2020/04/28 </v>
      </c>
      <c r="F6">
        <v>1</v>
      </c>
      <c r="G6">
        <v>2</v>
      </c>
      <c r="K6">
        <f t="shared" si="1"/>
        <v>2</v>
      </c>
    </row>
    <row r="7" spans="1:11" x14ac:dyDescent="0.25">
      <c r="A7" t="s">
        <v>528</v>
      </c>
      <c r="B7" t="s">
        <v>529</v>
      </c>
      <c r="C7">
        <v>67026466</v>
      </c>
      <c r="D7" t="s">
        <v>530</v>
      </c>
      <c r="E7" t="str">
        <f t="shared" si="0"/>
        <v xml:space="preserve">2020/04/28 </v>
      </c>
      <c r="F7">
        <v>1</v>
      </c>
      <c r="G7">
        <v>2</v>
      </c>
      <c r="K7">
        <f t="shared" si="1"/>
        <v>2</v>
      </c>
    </row>
    <row r="8" spans="1:11" x14ac:dyDescent="0.25">
      <c r="A8" t="s">
        <v>531</v>
      </c>
      <c r="B8" t="s">
        <v>529</v>
      </c>
      <c r="C8">
        <v>14981868</v>
      </c>
      <c r="D8" t="s">
        <v>532</v>
      </c>
      <c r="E8" t="str">
        <f t="shared" si="0"/>
        <v xml:space="preserve">2020/04/28 </v>
      </c>
      <c r="F8">
        <v>1</v>
      </c>
      <c r="G8">
        <v>2</v>
      </c>
      <c r="K8">
        <f t="shared" si="1"/>
        <v>2</v>
      </c>
    </row>
    <row r="9" spans="1:11" x14ac:dyDescent="0.25">
      <c r="A9" t="s">
        <v>533</v>
      </c>
      <c r="B9" t="s">
        <v>402</v>
      </c>
      <c r="C9">
        <v>24720136</v>
      </c>
      <c r="D9" t="s">
        <v>534</v>
      </c>
      <c r="E9" t="str">
        <f t="shared" si="0"/>
        <v xml:space="preserve">2020/04/28 </v>
      </c>
      <c r="F9">
        <v>1</v>
      </c>
      <c r="G9">
        <v>2</v>
      </c>
      <c r="K9">
        <f t="shared" si="1"/>
        <v>2</v>
      </c>
    </row>
    <row r="10" spans="1:11" x14ac:dyDescent="0.25">
      <c r="A10" t="s">
        <v>535</v>
      </c>
      <c r="B10" t="s">
        <v>529</v>
      </c>
      <c r="C10">
        <v>31905517</v>
      </c>
      <c r="D10" t="s">
        <v>536</v>
      </c>
      <c r="E10" t="str">
        <f t="shared" si="0"/>
        <v xml:space="preserve">2020/04/28 </v>
      </c>
      <c r="F10">
        <v>1</v>
      </c>
      <c r="G10">
        <v>2</v>
      </c>
      <c r="K10">
        <f t="shared" si="1"/>
        <v>2</v>
      </c>
    </row>
    <row r="11" spans="1:11" x14ac:dyDescent="0.25">
      <c r="A11" t="s">
        <v>537</v>
      </c>
      <c r="B11" t="s">
        <v>529</v>
      </c>
      <c r="C11">
        <v>1098337533</v>
      </c>
      <c r="D11" t="s">
        <v>536</v>
      </c>
      <c r="E11" t="str">
        <f t="shared" si="0"/>
        <v xml:space="preserve">2020/04/28 </v>
      </c>
      <c r="F11">
        <v>1</v>
      </c>
      <c r="H11">
        <v>4</v>
      </c>
      <c r="K11">
        <f t="shared" si="1"/>
        <v>4</v>
      </c>
    </row>
    <row r="12" spans="1:11" x14ac:dyDescent="0.25">
      <c r="A12" t="s">
        <v>538</v>
      </c>
      <c r="B12" t="s">
        <v>529</v>
      </c>
      <c r="C12">
        <v>1113068055</v>
      </c>
      <c r="D12" t="s">
        <v>536</v>
      </c>
      <c r="E12" t="str">
        <f t="shared" si="0"/>
        <v xml:space="preserve">2020/04/28 </v>
      </c>
      <c r="F12">
        <v>1</v>
      </c>
      <c r="G12">
        <v>2</v>
      </c>
      <c r="K12">
        <f t="shared" si="1"/>
        <v>2</v>
      </c>
    </row>
    <row r="13" spans="1:11" x14ac:dyDescent="0.25">
      <c r="A13" t="s">
        <v>539</v>
      </c>
      <c r="B13" t="s">
        <v>529</v>
      </c>
      <c r="C13">
        <v>1143856219</v>
      </c>
      <c r="D13" t="s">
        <v>536</v>
      </c>
      <c r="E13" t="str">
        <f t="shared" si="0"/>
        <v xml:space="preserve">2020/04/28 </v>
      </c>
      <c r="F13">
        <v>1</v>
      </c>
      <c r="G13">
        <v>2</v>
      </c>
      <c r="K13">
        <f t="shared" si="1"/>
        <v>2</v>
      </c>
    </row>
    <row r="14" spans="1:11" x14ac:dyDescent="0.25">
      <c r="A14" t="s">
        <v>540</v>
      </c>
      <c r="B14" t="s">
        <v>529</v>
      </c>
      <c r="C14">
        <v>29108561</v>
      </c>
      <c r="D14" t="s">
        <v>541</v>
      </c>
      <c r="E14" t="str">
        <f t="shared" si="0"/>
        <v xml:space="preserve">2020/04/28 </v>
      </c>
      <c r="F14">
        <v>1</v>
      </c>
      <c r="H14">
        <v>4</v>
      </c>
      <c r="K14">
        <f t="shared" si="1"/>
        <v>4</v>
      </c>
    </row>
    <row r="15" spans="1:11" x14ac:dyDescent="0.25">
      <c r="A15" t="s">
        <v>542</v>
      </c>
      <c r="B15" t="s">
        <v>402</v>
      </c>
      <c r="C15">
        <v>1143981647</v>
      </c>
      <c r="D15" t="s">
        <v>543</v>
      </c>
      <c r="E15" t="str">
        <f t="shared" si="0"/>
        <v xml:space="preserve">2020/04/28 </v>
      </c>
      <c r="F15">
        <v>1</v>
      </c>
      <c r="I15">
        <v>10</v>
      </c>
      <c r="K15">
        <f t="shared" si="1"/>
        <v>10</v>
      </c>
    </row>
    <row r="16" spans="1:11" x14ac:dyDescent="0.25">
      <c r="A16" t="s">
        <v>544</v>
      </c>
      <c r="B16" t="s">
        <v>402</v>
      </c>
      <c r="C16">
        <v>94193276</v>
      </c>
      <c r="D16" t="s">
        <v>545</v>
      </c>
      <c r="E16" t="str">
        <f t="shared" si="0"/>
        <v xml:space="preserve">2020/04/28 </v>
      </c>
      <c r="F16">
        <v>1</v>
      </c>
      <c r="G16">
        <v>2</v>
      </c>
      <c r="K16">
        <f t="shared" si="1"/>
        <v>2</v>
      </c>
    </row>
    <row r="17" spans="1:11" x14ac:dyDescent="0.25">
      <c r="A17" t="s">
        <v>546</v>
      </c>
      <c r="B17" t="s">
        <v>402</v>
      </c>
      <c r="C17">
        <v>16796483</v>
      </c>
      <c r="D17" t="s">
        <v>547</v>
      </c>
      <c r="E17" t="str">
        <f t="shared" si="0"/>
        <v xml:space="preserve">2020/04/28 </v>
      </c>
      <c r="F17">
        <v>1</v>
      </c>
      <c r="H17">
        <v>4</v>
      </c>
      <c r="K17">
        <f t="shared" si="1"/>
        <v>4</v>
      </c>
    </row>
    <row r="18" spans="1:11" x14ac:dyDescent="0.25">
      <c r="A18" t="s">
        <v>548</v>
      </c>
      <c r="B18" t="s">
        <v>402</v>
      </c>
      <c r="C18">
        <v>1130656816</v>
      </c>
      <c r="D18" t="s">
        <v>549</v>
      </c>
      <c r="E18" t="str">
        <f t="shared" si="0"/>
        <v xml:space="preserve">2020/04/28 </v>
      </c>
      <c r="F18">
        <v>1</v>
      </c>
      <c r="H18">
        <v>4</v>
      </c>
      <c r="K18">
        <f t="shared" si="1"/>
        <v>4</v>
      </c>
    </row>
    <row r="19" spans="1:11" x14ac:dyDescent="0.25">
      <c r="A19" t="s">
        <v>550</v>
      </c>
      <c r="B19" t="s">
        <v>394</v>
      </c>
      <c r="C19">
        <v>29185357</v>
      </c>
      <c r="D19" t="s">
        <v>551</v>
      </c>
      <c r="E19" t="str">
        <f t="shared" si="0"/>
        <v xml:space="preserve">2020/04/28 </v>
      </c>
      <c r="F19">
        <v>1</v>
      </c>
      <c r="G19">
        <v>2</v>
      </c>
      <c r="K19">
        <f t="shared" si="1"/>
        <v>2</v>
      </c>
    </row>
    <row r="20" spans="1:11" x14ac:dyDescent="0.25">
      <c r="A20" t="s">
        <v>552</v>
      </c>
      <c r="B20" t="s">
        <v>402</v>
      </c>
      <c r="C20">
        <v>71142237</v>
      </c>
      <c r="D20" t="s">
        <v>551</v>
      </c>
      <c r="E20" t="str">
        <f t="shared" si="0"/>
        <v xml:space="preserve">2020/04/28 </v>
      </c>
      <c r="F20">
        <v>1</v>
      </c>
      <c r="H20">
        <v>4</v>
      </c>
      <c r="K20">
        <f t="shared" si="1"/>
        <v>4</v>
      </c>
    </row>
    <row r="21" spans="1:11" x14ac:dyDescent="0.25">
      <c r="A21" t="s">
        <v>553</v>
      </c>
      <c r="B21" t="s">
        <v>407</v>
      </c>
      <c r="C21">
        <v>1118296911</v>
      </c>
      <c r="D21" t="s">
        <v>554</v>
      </c>
      <c r="E21" t="str">
        <f t="shared" si="0"/>
        <v xml:space="preserve">2020/04/28 </v>
      </c>
      <c r="F21">
        <v>1</v>
      </c>
      <c r="G21">
        <v>2</v>
      </c>
      <c r="K21">
        <f t="shared" si="1"/>
        <v>2</v>
      </c>
    </row>
    <row r="22" spans="1:11" x14ac:dyDescent="0.25">
      <c r="A22" t="s">
        <v>555</v>
      </c>
      <c r="B22" t="s">
        <v>391</v>
      </c>
      <c r="C22">
        <v>42116594</v>
      </c>
      <c r="D22" t="s">
        <v>556</v>
      </c>
      <c r="E22" t="str">
        <f t="shared" si="0"/>
        <v xml:space="preserve">2020/04/28 </v>
      </c>
      <c r="F22">
        <v>1</v>
      </c>
      <c r="I22">
        <v>10</v>
      </c>
      <c r="K22">
        <f t="shared" si="1"/>
        <v>10</v>
      </c>
    </row>
    <row r="23" spans="1:11" x14ac:dyDescent="0.25">
      <c r="A23" t="s">
        <v>557</v>
      </c>
      <c r="B23" t="s">
        <v>394</v>
      </c>
      <c r="C23">
        <v>43642694</v>
      </c>
      <c r="D23" t="s">
        <v>558</v>
      </c>
      <c r="E23" t="str">
        <f t="shared" si="0"/>
        <v xml:space="preserve">2020/04/28 </v>
      </c>
      <c r="F23">
        <v>1</v>
      </c>
      <c r="J23">
        <v>20</v>
      </c>
      <c r="K23">
        <f t="shared" si="1"/>
        <v>20</v>
      </c>
    </row>
    <row r="24" spans="1:11" x14ac:dyDescent="0.25">
      <c r="A24" t="s">
        <v>559</v>
      </c>
      <c r="B24" t="s">
        <v>402</v>
      </c>
      <c r="C24">
        <v>29124640</v>
      </c>
      <c r="D24" t="s">
        <v>560</v>
      </c>
      <c r="E24" t="str">
        <f t="shared" si="0"/>
        <v xml:space="preserve">2020/04/28 </v>
      </c>
      <c r="F24">
        <v>1</v>
      </c>
      <c r="G24">
        <v>2</v>
      </c>
      <c r="K24">
        <f t="shared" si="1"/>
        <v>2</v>
      </c>
    </row>
    <row r="25" spans="1:11" x14ac:dyDescent="0.25">
      <c r="A25" t="s">
        <v>401</v>
      </c>
      <c r="B25" t="s">
        <v>402</v>
      </c>
      <c r="C25">
        <v>9850773</v>
      </c>
      <c r="D25" t="s">
        <v>403</v>
      </c>
      <c r="E25" t="str">
        <f t="shared" si="0"/>
        <v xml:space="preserve">2020/05/09 </v>
      </c>
      <c r="F25">
        <v>2</v>
      </c>
      <c r="G25">
        <v>2</v>
      </c>
      <c r="K25">
        <f t="shared" si="1"/>
        <v>2</v>
      </c>
    </row>
    <row r="26" spans="1:11" x14ac:dyDescent="0.25">
      <c r="A26" t="s">
        <v>404</v>
      </c>
      <c r="B26" t="s">
        <v>391</v>
      </c>
      <c r="C26">
        <v>29495749</v>
      </c>
      <c r="D26" t="s">
        <v>405</v>
      </c>
      <c r="E26" t="str">
        <f t="shared" si="0"/>
        <v xml:space="preserve">2020/05/09 </v>
      </c>
      <c r="F26">
        <v>2</v>
      </c>
      <c r="G26">
        <v>2</v>
      </c>
      <c r="K26">
        <f t="shared" si="1"/>
        <v>2</v>
      </c>
    </row>
    <row r="27" spans="1:11" x14ac:dyDescent="0.25">
      <c r="A27" t="s">
        <v>406</v>
      </c>
      <c r="B27" t="s">
        <v>407</v>
      </c>
      <c r="C27">
        <v>31523227</v>
      </c>
      <c r="D27" t="s">
        <v>408</v>
      </c>
      <c r="E27" t="str">
        <f t="shared" si="0"/>
        <v xml:space="preserve">2020/05/08 </v>
      </c>
      <c r="F27">
        <v>2</v>
      </c>
      <c r="G27">
        <v>2</v>
      </c>
      <c r="K27">
        <f t="shared" si="1"/>
        <v>2</v>
      </c>
    </row>
    <row r="28" spans="1:11" x14ac:dyDescent="0.25">
      <c r="A28" t="s">
        <v>409</v>
      </c>
      <c r="B28" t="s">
        <v>402</v>
      </c>
      <c r="C28">
        <v>1130598374</v>
      </c>
      <c r="D28" t="s">
        <v>410</v>
      </c>
      <c r="E28" t="str">
        <f t="shared" si="0"/>
        <v xml:space="preserve">2020/05/08 </v>
      </c>
      <c r="F28">
        <v>2</v>
      </c>
      <c r="I28">
        <v>10</v>
      </c>
      <c r="K28">
        <f t="shared" si="1"/>
        <v>10</v>
      </c>
    </row>
    <row r="29" spans="1:11" x14ac:dyDescent="0.25">
      <c r="A29" t="s">
        <v>411</v>
      </c>
      <c r="B29" t="s">
        <v>407</v>
      </c>
      <c r="C29">
        <v>967023320</v>
      </c>
      <c r="D29" t="s">
        <v>412</v>
      </c>
      <c r="E29" t="str">
        <f t="shared" si="0"/>
        <v xml:space="preserve">2020/05/08 </v>
      </c>
      <c r="F29">
        <v>2</v>
      </c>
      <c r="G29">
        <v>2</v>
      </c>
      <c r="K29">
        <f t="shared" si="1"/>
        <v>2</v>
      </c>
    </row>
    <row r="30" spans="1:11" x14ac:dyDescent="0.25">
      <c r="A30" t="s">
        <v>413</v>
      </c>
      <c r="B30" t="s">
        <v>407</v>
      </c>
      <c r="C30">
        <v>94422261</v>
      </c>
      <c r="D30" t="s">
        <v>414</v>
      </c>
      <c r="E30" t="str">
        <f t="shared" si="0"/>
        <v xml:space="preserve">2020/05/08 </v>
      </c>
      <c r="F30">
        <v>2</v>
      </c>
      <c r="G30">
        <v>2</v>
      </c>
      <c r="K30">
        <f t="shared" si="1"/>
        <v>2</v>
      </c>
    </row>
    <row r="31" spans="1:11" x14ac:dyDescent="0.25">
      <c r="A31" t="s">
        <v>415</v>
      </c>
      <c r="B31" t="s">
        <v>407</v>
      </c>
      <c r="C31">
        <v>25529383</v>
      </c>
      <c r="D31" t="s">
        <v>416</v>
      </c>
      <c r="E31" t="str">
        <f t="shared" si="0"/>
        <v xml:space="preserve">2020/05/07 </v>
      </c>
      <c r="F31">
        <v>2</v>
      </c>
      <c r="G31">
        <v>2</v>
      </c>
      <c r="K31">
        <f t="shared" si="1"/>
        <v>2</v>
      </c>
    </row>
    <row r="32" spans="1:11" x14ac:dyDescent="0.25">
      <c r="A32" t="s">
        <v>417</v>
      </c>
      <c r="B32" t="s">
        <v>397</v>
      </c>
      <c r="C32">
        <v>16536358</v>
      </c>
      <c r="D32" t="s">
        <v>418</v>
      </c>
      <c r="E32" t="str">
        <f t="shared" si="0"/>
        <v xml:space="preserve">2020/05/06 </v>
      </c>
      <c r="F32">
        <v>2</v>
      </c>
      <c r="J32">
        <v>20</v>
      </c>
      <c r="K32">
        <f t="shared" si="1"/>
        <v>20</v>
      </c>
    </row>
    <row r="33" spans="1:11" x14ac:dyDescent="0.25">
      <c r="A33" t="s">
        <v>419</v>
      </c>
      <c r="B33" t="s">
        <v>397</v>
      </c>
      <c r="C33">
        <v>70753695</v>
      </c>
      <c r="D33" t="s">
        <v>420</v>
      </c>
      <c r="E33" t="str">
        <f t="shared" si="0"/>
        <v xml:space="preserve">2020/05/05 </v>
      </c>
      <c r="F33">
        <v>2</v>
      </c>
      <c r="J33">
        <v>20</v>
      </c>
      <c r="K33">
        <f t="shared" si="1"/>
        <v>20</v>
      </c>
    </row>
    <row r="34" spans="1:11" x14ac:dyDescent="0.25">
      <c r="A34" t="s">
        <v>421</v>
      </c>
      <c r="B34" t="s">
        <v>397</v>
      </c>
      <c r="C34">
        <v>1041328694</v>
      </c>
      <c r="D34" t="s">
        <v>422</v>
      </c>
      <c r="E34" t="str">
        <f t="shared" ref="E34:E65" si="2">+MID(D34,1,11)</f>
        <v xml:space="preserve">2020/05/05 </v>
      </c>
      <c r="F34">
        <v>2</v>
      </c>
      <c r="J34">
        <v>20</v>
      </c>
      <c r="K34">
        <f t="shared" si="1"/>
        <v>20</v>
      </c>
    </row>
    <row r="35" spans="1:11" x14ac:dyDescent="0.25">
      <c r="A35" t="s">
        <v>423</v>
      </c>
      <c r="B35" t="s">
        <v>397</v>
      </c>
      <c r="C35">
        <v>1024518932</v>
      </c>
      <c r="D35" t="s">
        <v>424</v>
      </c>
      <c r="E35" t="str">
        <f t="shared" si="2"/>
        <v xml:space="preserve">2020/05/05 </v>
      </c>
      <c r="F35">
        <v>2</v>
      </c>
      <c r="J35">
        <v>20</v>
      </c>
      <c r="K35">
        <f t="shared" si="1"/>
        <v>20</v>
      </c>
    </row>
    <row r="36" spans="1:11" x14ac:dyDescent="0.25">
      <c r="A36" t="s">
        <v>425</v>
      </c>
      <c r="B36" t="s">
        <v>397</v>
      </c>
      <c r="C36">
        <v>43475437</v>
      </c>
      <c r="D36" t="s">
        <v>426</v>
      </c>
      <c r="E36" t="str">
        <f t="shared" si="2"/>
        <v xml:space="preserve">2020/05/05 </v>
      </c>
      <c r="F36">
        <v>2</v>
      </c>
      <c r="I36">
        <v>10</v>
      </c>
      <c r="K36">
        <f t="shared" si="1"/>
        <v>10</v>
      </c>
    </row>
    <row r="37" spans="1:11" x14ac:dyDescent="0.25">
      <c r="A37" t="s">
        <v>427</v>
      </c>
      <c r="B37" t="s">
        <v>397</v>
      </c>
      <c r="C37">
        <v>1047410654</v>
      </c>
      <c r="D37" t="s">
        <v>428</v>
      </c>
      <c r="E37" t="str">
        <f t="shared" si="2"/>
        <v xml:space="preserve">2020/05/05 </v>
      </c>
      <c r="F37">
        <v>2</v>
      </c>
      <c r="I37">
        <v>10</v>
      </c>
      <c r="K37">
        <f t="shared" si="1"/>
        <v>10</v>
      </c>
    </row>
    <row r="38" spans="1:11" x14ac:dyDescent="0.25">
      <c r="A38" t="s">
        <v>429</v>
      </c>
      <c r="B38" t="s">
        <v>397</v>
      </c>
      <c r="C38">
        <v>1151943206</v>
      </c>
      <c r="D38" t="s">
        <v>430</v>
      </c>
      <c r="E38" t="str">
        <f t="shared" si="2"/>
        <v xml:space="preserve">2020/05/05 </v>
      </c>
      <c r="F38">
        <v>2</v>
      </c>
      <c r="J38">
        <v>20</v>
      </c>
      <c r="K38">
        <f t="shared" si="1"/>
        <v>20</v>
      </c>
    </row>
    <row r="39" spans="1:11" x14ac:dyDescent="0.25">
      <c r="A39" t="s">
        <v>431</v>
      </c>
      <c r="B39" t="s">
        <v>397</v>
      </c>
      <c r="C39">
        <v>66978529</v>
      </c>
      <c r="D39" t="s">
        <v>432</v>
      </c>
      <c r="E39" t="str">
        <f t="shared" si="2"/>
        <v xml:space="preserve">2020/05/05 </v>
      </c>
      <c r="F39">
        <v>2</v>
      </c>
      <c r="J39">
        <v>20</v>
      </c>
      <c r="K39">
        <f t="shared" si="1"/>
        <v>20</v>
      </c>
    </row>
    <row r="40" spans="1:11" x14ac:dyDescent="0.25">
      <c r="A40" t="s">
        <v>433</v>
      </c>
      <c r="B40" t="s">
        <v>407</v>
      </c>
      <c r="C40">
        <v>94417963</v>
      </c>
      <c r="D40" t="s">
        <v>434</v>
      </c>
      <c r="E40" t="str">
        <f t="shared" si="2"/>
        <v xml:space="preserve">2020/05/05 </v>
      </c>
      <c r="F40">
        <v>2</v>
      </c>
      <c r="G40">
        <v>2</v>
      </c>
      <c r="K40">
        <f t="shared" si="1"/>
        <v>2</v>
      </c>
    </row>
    <row r="41" spans="1:11" x14ac:dyDescent="0.25">
      <c r="A41" t="s">
        <v>435</v>
      </c>
      <c r="B41" t="s">
        <v>397</v>
      </c>
      <c r="C41">
        <v>29122250</v>
      </c>
      <c r="D41" t="s">
        <v>436</v>
      </c>
      <c r="E41" t="str">
        <f t="shared" si="2"/>
        <v xml:space="preserve">2020/05/05 </v>
      </c>
      <c r="F41">
        <v>2</v>
      </c>
      <c r="J41">
        <v>20</v>
      </c>
      <c r="K41">
        <f t="shared" si="1"/>
        <v>20</v>
      </c>
    </row>
    <row r="42" spans="1:11" x14ac:dyDescent="0.25">
      <c r="A42" t="s">
        <v>437</v>
      </c>
      <c r="B42" t="s">
        <v>407</v>
      </c>
      <c r="C42">
        <v>14998749</v>
      </c>
      <c r="D42" t="s">
        <v>438</v>
      </c>
      <c r="E42" t="str">
        <f t="shared" si="2"/>
        <v xml:space="preserve">2020/05/05 </v>
      </c>
      <c r="F42">
        <v>2</v>
      </c>
      <c r="G42">
        <v>2</v>
      </c>
      <c r="K42">
        <f t="shared" si="1"/>
        <v>2</v>
      </c>
    </row>
    <row r="43" spans="1:11" x14ac:dyDescent="0.25">
      <c r="A43" t="s">
        <v>439</v>
      </c>
      <c r="B43" t="s">
        <v>397</v>
      </c>
      <c r="C43">
        <v>71371926</v>
      </c>
      <c r="D43" t="s">
        <v>440</v>
      </c>
      <c r="E43" t="str">
        <f t="shared" si="2"/>
        <v xml:space="preserve">2020/05/05 </v>
      </c>
      <c r="F43">
        <v>2</v>
      </c>
      <c r="J43">
        <v>20</v>
      </c>
      <c r="K43">
        <f t="shared" si="1"/>
        <v>20</v>
      </c>
    </row>
    <row r="44" spans="1:11" x14ac:dyDescent="0.25">
      <c r="A44" t="s">
        <v>441</v>
      </c>
      <c r="B44" t="s">
        <v>397</v>
      </c>
      <c r="C44">
        <v>38684955</v>
      </c>
      <c r="D44" t="s">
        <v>442</v>
      </c>
      <c r="E44" t="str">
        <f t="shared" si="2"/>
        <v xml:space="preserve">2020/05/05 </v>
      </c>
      <c r="F44">
        <v>2</v>
      </c>
      <c r="J44">
        <v>20</v>
      </c>
      <c r="K44">
        <f t="shared" si="1"/>
        <v>20</v>
      </c>
    </row>
    <row r="45" spans="1:11" x14ac:dyDescent="0.25">
      <c r="A45" t="s">
        <v>443</v>
      </c>
      <c r="B45" t="s">
        <v>397</v>
      </c>
      <c r="C45">
        <v>94071006</v>
      </c>
      <c r="D45" t="s">
        <v>444</v>
      </c>
      <c r="E45" t="str">
        <f t="shared" si="2"/>
        <v xml:space="preserve">2020/05/05 </v>
      </c>
      <c r="F45">
        <v>2</v>
      </c>
      <c r="J45">
        <v>20</v>
      </c>
      <c r="K45">
        <f t="shared" si="1"/>
        <v>20</v>
      </c>
    </row>
    <row r="46" spans="1:11" x14ac:dyDescent="0.25">
      <c r="A46" t="s">
        <v>445</v>
      </c>
      <c r="B46" t="s">
        <v>391</v>
      </c>
      <c r="C46">
        <v>1144025746</v>
      </c>
      <c r="D46" t="s">
        <v>446</v>
      </c>
      <c r="E46" t="str">
        <f t="shared" si="2"/>
        <v xml:space="preserve">2020/05/04 </v>
      </c>
      <c r="F46">
        <v>2</v>
      </c>
      <c r="H46">
        <v>4</v>
      </c>
      <c r="K46">
        <f t="shared" si="1"/>
        <v>4</v>
      </c>
    </row>
    <row r="47" spans="1:11" x14ac:dyDescent="0.25">
      <c r="A47" t="s">
        <v>447</v>
      </c>
      <c r="B47" t="s">
        <v>402</v>
      </c>
      <c r="C47">
        <v>10224700</v>
      </c>
      <c r="D47" t="s">
        <v>448</v>
      </c>
      <c r="E47" t="str">
        <f t="shared" si="2"/>
        <v xml:space="preserve">2020/05/04 </v>
      </c>
      <c r="F47">
        <v>2</v>
      </c>
      <c r="G47">
        <v>2</v>
      </c>
      <c r="K47">
        <f t="shared" si="1"/>
        <v>2</v>
      </c>
    </row>
    <row r="48" spans="1:11" x14ac:dyDescent="0.25">
      <c r="A48" t="s">
        <v>449</v>
      </c>
      <c r="B48" t="s">
        <v>402</v>
      </c>
      <c r="C48">
        <v>94517200</v>
      </c>
      <c r="D48" t="s">
        <v>450</v>
      </c>
      <c r="E48" t="str">
        <f t="shared" si="2"/>
        <v xml:space="preserve">2020/05/04 </v>
      </c>
      <c r="F48">
        <v>2</v>
      </c>
      <c r="H48">
        <v>4</v>
      </c>
      <c r="K48">
        <f t="shared" si="1"/>
        <v>4</v>
      </c>
    </row>
    <row r="49" spans="1:11" x14ac:dyDescent="0.25">
      <c r="A49" t="s">
        <v>451</v>
      </c>
      <c r="B49" t="s">
        <v>452</v>
      </c>
      <c r="C49">
        <v>94400940</v>
      </c>
      <c r="D49" t="s">
        <v>450</v>
      </c>
      <c r="E49" t="str">
        <f t="shared" si="2"/>
        <v xml:space="preserve">2020/05/04 </v>
      </c>
      <c r="F49">
        <v>2</v>
      </c>
      <c r="G49">
        <v>2</v>
      </c>
      <c r="K49">
        <f t="shared" si="1"/>
        <v>2</v>
      </c>
    </row>
    <row r="50" spans="1:11" x14ac:dyDescent="0.25">
      <c r="A50" t="s">
        <v>453</v>
      </c>
      <c r="B50" t="s">
        <v>391</v>
      </c>
      <c r="C50">
        <v>901235591</v>
      </c>
      <c r="D50" t="s">
        <v>454</v>
      </c>
      <c r="E50" t="str">
        <f t="shared" si="2"/>
        <v xml:space="preserve">2020/05/04 </v>
      </c>
      <c r="F50">
        <v>2</v>
      </c>
      <c r="J50">
        <v>20</v>
      </c>
      <c r="K50">
        <f t="shared" si="1"/>
        <v>20</v>
      </c>
    </row>
    <row r="51" spans="1:11" x14ac:dyDescent="0.25">
      <c r="A51" t="s">
        <v>455</v>
      </c>
      <c r="B51" t="s">
        <v>452</v>
      </c>
      <c r="C51">
        <v>1143830559</v>
      </c>
      <c r="D51" t="s">
        <v>456</v>
      </c>
      <c r="E51" t="str">
        <f t="shared" si="2"/>
        <v xml:space="preserve">2020/05/04 </v>
      </c>
      <c r="F51">
        <v>2</v>
      </c>
      <c r="G51">
        <v>2</v>
      </c>
      <c r="K51">
        <f t="shared" si="1"/>
        <v>2</v>
      </c>
    </row>
    <row r="52" spans="1:11" x14ac:dyDescent="0.25">
      <c r="A52" t="s">
        <v>457</v>
      </c>
      <c r="B52" t="s">
        <v>452</v>
      </c>
      <c r="C52">
        <v>94386842</v>
      </c>
      <c r="D52" t="s">
        <v>458</v>
      </c>
      <c r="E52" t="str">
        <f t="shared" si="2"/>
        <v xml:space="preserve">2020/05/04 </v>
      </c>
      <c r="F52">
        <v>2</v>
      </c>
      <c r="G52">
        <v>2</v>
      </c>
      <c r="K52">
        <f t="shared" si="1"/>
        <v>2</v>
      </c>
    </row>
    <row r="53" spans="1:11" x14ac:dyDescent="0.25">
      <c r="A53" t="s">
        <v>459</v>
      </c>
      <c r="B53" t="s">
        <v>452</v>
      </c>
      <c r="C53">
        <v>1130590173</v>
      </c>
      <c r="D53" t="s">
        <v>460</v>
      </c>
      <c r="E53" t="str">
        <f t="shared" si="2"/>
        <v xml:space="preserve">2020/05/04 </v>
      </c>
      <c r="F53">
        <v>2</v>
      </c>
      <c r="H53">
        <v>4</v>
      </c>
      <c r="K53">
        <f t="shared" si="1"/>
        <v>4</v>
      </c>
    </row>
    <row r="54" spans="1:11" x14ac:dyDescent="0.25">
      <c r="A54" t="s">
        <v>461</v>
      </c>
      <c r="B54" t="s">
        <v>402</v>
      </c>
      <c r="C54">
        <v>13644003</v>
      </c>
      <c r="D54" t="s">
        <v>462</v>
      </c>
      <c r="E54" t="str">
        <f t="shared" si="2"/>
        <v xml:space="preserve">2020/05/04 </v>
      </c>
      <c r="F54">
        <v>2</v>
      </c>
      <c r="H54">
        <v>4</v>
      </c>
      <c r="K54">
        <f t="shared" si="1"/>
        <v>4</v>
      </c>
    </row>
    <row r="55" spans="1:11" x14ac:dyDescent="0.25">
      <c r="A55" t="s">
        <v>463</v>
      </c>
      <c r="B55" t="s">
        <v>452</v>
      </c>
      <c r="C55">
        <v>15429690</v>
      </c>
      <c r="D55" t="s">
        <v>464</v>
      </c>
      <c r="E55" t="str">
        <f t="shared" si="2"/>
        <v xml:space="preserve">2020/05/04 </v>
      </c>
      <c r="F55">
        <v>2</v>
      </c>
      <c r="H55">
        <v>4</v>
      </c>
      <c r="K55">
        <f t="shared" si="1"/>
        <v>4</v>
      </c>
    </row>
    <row r="56" spans="1:11" x14ac:dyDescent="0.25">
      <c r="A56" t="s">
        <v>465</v>
      </c>
      <c r="B56" t="s">
        <v>466</v>
      </c>
      <c r="C56">
        <v>66993437</v>
      </c>
      <c r="D56" t="s">
        <v>467</v>
      </c>
      <c r="E56" t="str">
        <f t="shared" si="2"/>
        <v xml:space="preserve">2020/05/04 </v>
      </c>
      <c r="F56">
        <v>2</v>
      </c>
      <c r="H56">
        <v>4</v>
      </c>
      <c r="K56">
        <f t="shared" si="1"/>
        <v>4</v>
      </c>
    </row>
    <row r="57" spans="1:11" x14ac:dyDescent="0.25">
      <c r="A57" t="s">
        <v>468</v>
      </c>
      <c r="B57" t="s">
        <v>397</v>
      </c>
      <c r="C57">
        <v>16545153</v>
      </c>
      <c r="D57" t="s">
        <v>469</v>
      </c>
      <c r="E57" t="str">
        <f t="shared" si="2"/>
        <v xml:space="preserve">2020/05/04 </v>
      </c>
      <c r="F57">
        <v>2</v>
      </c>
      <c r="G57">
        <v>2</v>
      </c>
      <c r="K57">
        <f t="shared" si="1"/>
        <v>2</v>
      </c>
    </row>
    <row r="58" spans="1:11" x14ac:dyDescent="0.25">
      <c r="A58" t="s">
        <v>470</v>
      </c>
      <c r="B58" t="s">
        <v>407</v>
      </c>
      <c r="C58">
        <v>21873936</v>
      </c>
      <c r="D58" t="s">
        <v>471</v>
      </c>
      <c r="E58" t="str">
        <f t="shared" si="2"/>
        <v xml:space="preserve">2020/05/04 </v>
      </c>
      <c r="F58">
        <v>2</v>
      </c>
      <c r="G58">
        <v>2</v>
      </c>
      <c r="K58">
        <f t="shared" si="1"/>
        <v>2</v>
      </c>
    </row>
    <row r="59" spans="1:11" x14ac:dyDescent="0.25">
      <c r="A59" t="s">
        <v>472</v>
      </c>
      <c r="B59" t="s">
        <v>466</v>
      </c>
      <c r="C59">
        <v>1130679015</v>
      </c>
      <c r="D59" t="s">
        <v>473</v>
      </c>
      <c r="E59" t="str">
        <f t="shared" si="2"/>
        <v xml:space="preserve">2020/05/04 </v>
      </c>
      <c r="F59">
        <v>2</v>
      </c>
      <c r="G59">
        <v>2</v>
      </c>
      <c r="K59">
        <f t="shared" si="1"/>
        <v>2</v>
      </c>
    </row>
    <row r="60" spans="1:11" x14ac:dyDescent="0.25">
      <c r="A60" t="s">
        <v>474</v>
      </c>
      <c r="B60" t="s">
        <v>402</v>
      </c>
      <c r="C60">
        <v>38555629</v>
      </c>
      <c r="D60" t="s">
        <v>475</v>
      </c>
      <c r="E60" t="str">
        <f t="shared" si="2"/>
        <v xml:space="preserve">2020/05/04 </v>
      </c>
      <c r="F60">
        <v>2</v>
      </c>
      <c r="J60">
        <v>20</v>
      </c>
      <c r="K60">
        <f t="shared" si="1"/>
        <v>20</v>
      </c>
    </row>
    <row r="61" spans="1:11" x14ac:dyDescent="0.25">
      <c r="A61" t="s">
        <v>476</v>
      </c>
      <c r="B61" t="s">
        <v>397</v>
      </c>
      <c r="C61">
        <v>6334121</v>
      </c>
      <c r="D61" t="s">
        <v>477</v>
      </c>
      <c r="E61" t="str">
        <f t="shared" si="2"/>
        <v xml:space="preserve">2020/05/04 </v>
      </c>
      <c r="F61">
        <v>2</v>
      </c>
      <c r="J61">
        <v>20</v>
      </c>
      <c r="K61">
        <f t="shared" si="1"/>
        <v>20</v>
      </c>
    </row>
    <row r="62" spans="1:11" x14ac:dyDescent="0.25">
      <c r="A62" t="s">
        <v>478</v>
      </c>
      <c r="B62" t="s">
        <v>402</v>
      </c>
      <c r="C62">
        <v>16377467</v>
      </c>
      <c r="D62" t="s">
        <v>479</v>
      </c>
      <c r="E62" t="str">
        <f t="shared" si="2"/>
        <v xml:space="preserve">2020/05/04 </v>
      </c>
      <c r="F62">
        <v>2</v>
      </c>
      <c r="H62">
        <v>4</v>
      </c>
      <c r="K62">
        <f t="shared" si="1"/>
        <v>4</v>
      </c>
    </row>
    <row r="63" spans="1:11" x14ac:dyDescent="0.25">
      <c r="A63" t="s">
        <v>480</v>
      </c>
      <c r="B63" t="s">
        <v>397</v>
      </c>
      <c r="C63">
        <v>38644553</v>
      </c>
      <c r="D63" t="s">
        <v>481</v>
      </c>
      <c r="E63" t="str">
        <f t="shared" si="2"/>
        <v xml:space="preserve">2020/05/04 </v>
      </c>
      <c r="F63">
        <v>2</v>
      </c>
      <c r="J63">
        <v>20</v>
      </c>
      <c r="K63">
        <f t="shared" si="1"/>
        <v>20</v>
      </c>
    </row>
    <row r="64" spans="1:11" x14ac:dyDescent="0.25">
      <c r="A64" t="s">
        <v>482</v>
      </c>
      <c r="B64" t="s">
        <v>402</v>
      </c>
      <c r="C64">
        <v>1130591583</v>
      </c>
      <c r="D64" t="s">
        <v>483</v>
      </c>
      <c r="E64" t="str">
        <f t="shared" si="2"/>
        <v xml:space="preserve">2020/05/04 </v>
      </c>
      <c r="F64">
        <v>2</v>
      </c>
      <c r="H64">
        <v>4</v>
      </c>
      <c r="K64">
        <f t="shared" si="1"/>
        <v>4</v>
      </c>
    </row>
    <row r="65" spans="1:11" x14ac:dyDescent="0.25">
      <c r="A65" t="s">
        <v>484</v>
      </c>
      <c r="B65" t="s">
        <v>407</v>
      </c>
      <c r="C65">
        <v>70386383</v>
      </c>
      <c r="D65" t="s">
        <v>485</v>
      </c>
      <c r="E65" t="str">
        <f t="shared" si="2"/>
        <v xml:space="preserve">2020/05/04 </v>
      </c>
      <c r="F65">
        <v>2</v>
      </c>
      <c r="G65">
        <v>2</v>
      </c>
      <c r="K65">
        <f t="shared" si="1"/>
        <v>2</v>
      </c>
    </row>
    <row r="66" spans="1:11" x14ac:dyDescent="0.25">
      <c r="A66" t="s">
        <v>486</v>
      </c>
      <c r="B66" t="s">
        <v>397</v>
      </c>
      <c r="C66">
        <v>94543390</v>
      </c>
      <c r="D66" t="s">
        <v>487</v>
      </c>
      <c r="E66" t="str">
        <f t="shared" ref="E66:E85" si="3">+MID(D66,1,11)</f>
        <v xml:space="preserve">2020/05/04 </v>
      </c>
      <c r="F66">
        <v>2</v>
      </c>
      <c r="J66">
        <v>20</v>
      </c>
      <c r="K66">
        <f t="shared" si="1"/>
        <v>20</v>
      </c>
    </row>
    <row r="67" spans="1:11" x14ac:dyDescent="0.25">
      <c r="A67" t="s">
        <v>488</v>
      </c>
      <c r="B67" t="s">
        <v>407</v>
      </c>
      <c r="C67">
        <v>10115498</v>
      </c>
      <c r="D67" t="s">
        <v>489</v>
      </c>
      <c r="E67" t="str">
        <f t="shared" si="3"/>
        <v xml:space="preserve">2020/05/04 </v>
      </c>
      <c r="F67">
        <v>2</v>
      </c>
      <c r="G67">
        <v>2</v>
      </c>
      <c r="K67">
        <f t="shared" ref="K67:K85" si="4">+SUM(G67:J67)</f>
        <v>2</v>
      </c>
    </row>
    <row r="68" spans="1:11" x14ac:dyDescent="0.25">
      <c r="A68" t="s">
        <v>490</v>
      </c>
      <c r="B68" t="s">
        <v>402</v>
      </c>
      <c r="C68">
        <v>1144073992</v>
      </c>
      <c r="D68" t="s">
        <v>491</v>
      </c>
      <c r="E68" t="str">
        <f t="shared" si="3"/>
        <v xml:space="preserve">2020/05/04 </v>
      </c>
      <c r="F68">
        <v>2</v>
      </c>
      <c r="H68">
        <v>4</v>
      </c>
      <c r="K68">
        <f t="shared" si="4"/>
        <v>4</v>
      </c>
    </row>
    <row r="69" spans="1:11" x14ac:dyDescent="0.25">
      <c r="A69" t="s">
        <v>492</v>
      </c>
      <c r="B69" t="s">
        <v>407</v>
      </c>
      <c r="C69">
        <v>38989090</v>
      </c>
      <c r="D69" t="s">
        <v>493</v>
      </c>
      <c r="E69" t="str">
        <f t="shared" si="3"/>
        <v xml:space="preserve">2020/05/04 </v>
      </c>
      <c r="F69">
        <v>2</v>
      </c>
      <c r="G69">
        <v>2</v>
      </c>
      <c r="K69">
        <f t="shared" si="4"/>
        <v>2</v>
      </c>
    </row>
    <row r="70" spans="1:11" x14ac:dyDescent="0.25">
      <c r="A70" t="s">
        <v>494</v>
      </c>
      <c r="B70" t="s">
        <v>452</v>
      </c>
      <c r="C70">
        <v>31263536</v>
      </c>
      <c r="D70" t="s">
        <v>495</v>
      </c>
      <c r="E70" t="str">
        <f t="shared" si="3"/>
        <v xml:space="preserve">2020/05/04 </v>
      </c>
      <c r="F70">
        <v>2</v>
      </c>
      <c r="G70">
        <v>2</v>
      </c>
      <c r="K70">
        <f t="shared" si="4"/>
        <v>2</v>
      </c>
    </row>
    <row r="71" spans="1:11" x14ac:dyDescent="0.25">
      <c r="A71" t="s">
        <v>496</v>
      </c>
      <c r="B71" t="s">
        <v>402</v>
      </c>
      <c r="C71">
        <v>94506728</v>
      </c>
      <c r="D71" t="s">
        <v>497</v>
      </c>
      <c r="E71" t="str">
        <f t="shared" si="3"/>
        <v xml:space="preserve">2020/05/04 </v>
      </c>
      <c r="F71">
        <v>2</v>
      </c>
      <c r="G71">
        <v>2</v>
      </c>
      <c r="K71">
        <f t="shared" si="4"/>
        <v>2</v>
      </c>
    </row>
    <row r="72" spans="1:11" x14ac:dyDescent="0.25">
      <c r="A72" t="s">
        <v>498</v>
      </c>
      <c r="B72" t="s">
        <v>397</v>
      </c>
      <c r="C72">
        <v>4653824</v>
      </c>
      <c r="D72" t="s">
        <v>499</v>
      </c>
      <c r="E72" t="str">
        <f t="shared" si="3"/>
        <v xml:space="preserve">2020/05/04 </v>
      </c>
      <c r="F72">
        <v>2</v>
      </c>
      <c r="J72">
        <v>20</v>
      </c>
      <c r="K72">
        <f t="shared" si="4"/>
        <v>20</v>
      </c>
    </row>
    <row r="73" spans="1:11" x14ac:dyDescent="0.25">
      <c r="A73" t="s">
        <v>500</v>
      </c>
      <c r="B73" t="s">
        <v>394</v>
      </c>
      <c r="C73">
        <v>31483542</v>
      </c>
      <c r="D73" t="s">
        <v>501</v>
      </c>
      <c r="E73" t="str">
        <f t="shared" si="3"/>
        <v xml:space="preserve">2020/05/04 </v>
      </c>
      <c r="F73">
        <v>2</v>
      </c>
      <c r="I73">
        <v>10</v>
      </c>
      <c r="K73">
        <f t="shared" si="4"/>
        <v>10</v>
      </c>
    </row>
    <row r="74" spans="1:11" x14ac:dyDescent="0.25">
      <c r="A74" t="s">
        <v>502</v>
      </c>
      <c r="B74" t="s">
        <v>391</v>
      </c>
      <c r="C74">
        <v>1032363617</v>
      </c>
      <c r="D74" t="s">
        <v>503</v>
      </c>
      <c r="E74" t="str">
        <f t="shared" si="3"/>
        <v xml:space="preserve">2020/05/04 </v>
      </c>
      <c r="F74">
        <v>2</v>
      </c>
      <c r="J74">
        <v>20</v>
      </c>
      <c r="K74">
        <f t="shared" si="4"/>
        <v>20</v>
      </c>
    </row>
    <row r="75" spans="1:11" x14ac:dyDescent="0.25">
      <c r="A75" t="s">
        <v>504</v>
      </c>
      <c r="B75" t="s">
        <v>407</v>
      </c>
      <c r="C75">
        <v>9855053</v>
      </c>
      <c r="D75" t="s">
        <v>505</v>
      </c>
      <c r="E75" t="str">
        <f t="shared" si="3"/>
        <v xml:space="preserve">2020/05/04 </v>
      </c>
      <c r="F75">
        <v>2</v>
      </c>
      <c r="G75">
        <v>2</v>
      </c>
      <c r="K75">
        <f t="shared" si="4"/>
        <v>2</v>
      </c>
    </row>
    <row r="76" spans="1:11" x14ac:dyDescent="0.25">
      <c r="A76" t="s">
        <v>506</v>
      </c>
      <c r="B76" t="s">
        <v>402</v>
      </c>
      <c r="C76">
        <v>4453658</v>
      </c>
      <c r="D76" t="s">
        <v>507</v>
      </c>
      <c r="E76" t="str">
        <f t="shared" si="3"/>
        <v xml:space="preserve">2020/05/04 </v>
      </c>
      <c r="F76">
        <v>2</v>
      </c>
      <c r="G76">
        <v>2</v>
      </c>
      <c r="K76">
        <f t="shared" si="4"/>
        <v>2</v>
      </c>
    </row>
    <row r="77" spans="1:11" x14ac:dyDescent="0.25">
      <c r="A77" t="s">
        <v>508</v>
      </c>
      <c r="B77" t="s">
        <v>397</v>
      </c>
      <c r="C77">
        <v>31533755</v>
      </c>
      <c r="D77" t="s">
        <v>509</v>
      </c>
      <c r="E77" t="str">
        <f t="shared" si="3"/>
        <v xml:space="preserve">2020/05/04 </v>
      </c>
      <c r="F77">
        <v>2</v>
      </c>
      <c r="J77">
        <v>20</v>
      </c>
      <c r="K77">
        <f t="shared" si="4"/>
        <v>20</v>
      </c>
    </row>
    <row r="78" spans="1:11" x14ac:dyDescent="0.25">
      <c r="A78" t="s">
        <v>510</v>
      </c>
      <c r="B78" t="s">
        <v>397</v>
      </c>
      <c r="C78">
        <v>67003801</v>
      </c>
      <c r="D78" t="s">
        <v>511</v>
      </c>
      <c r="E78" t="str">
        <f t="shared" si="3"/>
        <v xml:space="preserve">2020/05/04 </v>
      </c>
      <c r="F78">
        <v>2</v>
      </c>
      <c r="I78">
        <v>10</v>
      </c>
      <c r="K78">
        <f t="shared" si="4"/>
        <v>10</v>
      </c>
    </row>
    <row r="79" spans="1:11" x14ac:dyDescent="0.25">
      <c r="A79" t="s">
        <v>512</v>
      </c>
      <c r="B79" t="s">
        <v>397</v>
      </c>
      <c r="C79">
        <v>67002900</v>
      </c>
      <c r="D79" t="s">
        <v>513</v>
      </c>
      <c r="E79" t="str">
        <f t="shared" si="3"/>
        <v xml:space="preserve">2020/05/04 </v>
      </c>
      <c r="F79">
        <v>2</v>
      </c>
      <c r="J79">
        <v>20</v>
      </c>
      <c r="K79">
        <f t="shared" si="4"/>
        <v>20</v>
      </c>
    </row>
    <row r="80" spans="1:11" x14ac:dyDescent="0.25">
      <c r="A80" t="s">
        <v>514</v>
      </c>
      <c r="B80" t="s">
        <v>407</v>
      </c>
      <c r="C80">
        <v>1058843345</v>
      </c>
      <c r="D80" t="s">
        <v>515</v>
      </c>
      <c r="E80" t="str">
        <f t="shared" si="3"/>
        <v xml:space="preserve">2020/05/04 </v>
      </c>
      <c r="F80">
        <v>2</v>
      </c>
      <c r="G80">
        <v>2</v>
      </c>
      <c r="K80">
        <f t="shared" si="4"/>
        <v>2</v>
      </c>
    </row>
    <row r="81" spans="1:11" x14ac:dyDescent="0.25">
      <c r="A81" t="s">
        <v>516</v>
      </c>
      <c r="B81" t="s">
        <v>466</v>
      </c>
      <c r="C81">
        <v>70828284</v>
      </c>
      <c r="D81" t="s">
        <v>517</v>
      </c>
      <c r="E81" t="str">
        <f t="shared" si="3"/>
        <v xml:space="preserve">2020/05/04 </v>
      </c>
      <c r="F81">
        <v>2</v>
      </c>
      <c r="G81">
        <v>2</v>
      </c>
      <c r="K81">
        <f t="shared" si="4"/>
        <v>2</v>
      </c>
    </row>
    <row r="82" spans="1:11" x14ac:dyDescent="0.25">
      <c r="A82" t="s">
        <v>390</v>
      </c>
      <c r="B82" t="s">
        <v>391</v>
      </c>
      <c r="C82">
        <v>901235591</v>
      </c>
      <c r="D82" t="s">
        <v>392</v>
      </c>
      <c r="E82" t="str">
        <f t="shared" si="3"/>
        <v xml:space="preserve">2020/05/11 </v>
      </c>
      <c r="F82">
        <v>3</v>
      </c>
      <c r="I82">
        <v>10</v>
      </c>
      <c r="K82">
        <f t="shared" si="4"/>
        <v>10</v>
      </c>
    </row>
    <row r="83" spans="1:11" x14ac:dyDescent="0.25">
      <c r="A83" t="s">
        <v>393</v>
      </c>
      <c r="B83" t="s">
        <v>394</v>
      </c>
      <c r="C83">
        <v>2685975</v>
      </c>
      <c r="D83" t="s">
        <v>395</v>
      </c>
      <c r="E83" t="str">
        <f t="shared" si="3"/>
        <v xml:space="preserve">2020/05/11 </v>
      </c>
      <c r="F83">
        <v>3</v>
      </c>
      <c r="I83">
        <v>10</v>
      </c>
      <c r="K83">
        <f t="shared" si="4"/>
        <v>10</v>
      </c>
    </row>
    <row r="84" spans="1:11" x14ac:dyDescent="0.25">
      <c r="A84" t="s">
        <v>396</v>
      </c>
      <c r="B84" t="s">
        <v>397</v>
      </c>
      <c r="C84">
        <v>16738410</v>
      </c>
      <c r="D84" t="s">
        <v>398</v>
      </c>
      <c r="E84" t="str">
        <f t="shared" si="3"/>
        <v xml:space="preserve">2020/05/11 </v>
      </c>
      <c r="F84">
        <v>3</v>
      </c>
      <c r="J84">
        <v>20</v>
      </c>
      <c r="K84">
        <f t="shared" si="4"/>
        <v>20</v>
      </c>
    </row>
    <row r="85" spans="1:11" x14ac:dyDescent="0.25">
      <c r="A85" t="s">
        <v>399</v>
      </c>
      <c r="B85" t="s">
        <v>394</v>
      </c>
      <c r="C85">
        <v>30306298</v>
      </c>
      <c r="D85" t="s">
        <v>400</v>
      </c>
      <c r="E85" t="str">
        <f t="shared" si="3"/>
        <v xml:space="preserve">2020/05/11 </v>
      </c>
      <c r="F85">
        <v>3</v>
      </c>
      <c r="J85">
        <v>20</v>
      </c>
      <c r="K85">
        <f t="shared" si="4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Ruta</vt:lpstr>
      <vt:lpstr>Resumen</vt:lpstr>
      <vt:lpstr>Promociones</vt:lpstr>
      <vt:lpstr>Hoja1</vt:lpstr>
      <vt:lpstr>Encuesta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2020-03-31T02:33:52Z</dcterms:created>
  <dcterms:modified xsi:type="dcterms:W3CDTF">2020-07-29T02:30:03Z</dcterms:modified>
</cp:coreProperties>
</file>