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945" windowHeight="7050" tabRatio="813"/>
  </bookViews>
  <sheets>
    <sheet name="BSC I" sheetId="53" r:id="rId1"/>
    <sheet name="BSC II" sheetId="5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25725"/>
</workbook>
</file>

<file path=xl/calcChain.xml><?xml version="1.0" encoding="utf-8"?>
<calcChain xmlns="http://schemas.openxmlformats.org/spreadsheetml/2006/main">
  <c r="T74" i="52"/>
  <c r="S74"/>
  <c r="P15" l="1"/>
  <c r="O15"/>
  <c r="S15" s="1"/>
  <c r="T15"/>
  <c r="S9" l="1"/>
  <c r="T9"/>
  <c r="S10"/>
  <c r="T10"/>
  <c r="W15" i="53" l="1"/>
  <c r="X15"/>
  <c r="Y15"/>
  <c r="Z15"/>
  <c r="Z14"/>
  <c r="Y14"/>
  <c r="X14"/>
  <c r="W14"/>
  <c r="W13"/>
  <c r="S14"/>
  <c r="T14"/>
  <c r="M71" i="52"/>
  <c r="D73"/>
  <c r="D74"/>
  <c r="D72"/>
  <c r="D71"/>
  <c r="C74"/>
  <c r="C73"/>
  <c r="C72"/>
  <c r="C71"/>
  <c r="Q60" l="1"/>
  <c r="R60" s="1"/>
  <c r="Q59"/>
  <c r="M58"/>
  <c r="R56" l="1"/>
  <c r="Q56"/>
  <c r="M55" l="1"/>
  <c r="Q55"/>
  <c r="R55" s="1"/>
  <c r="M53" l="1"/>
  <c r="N53" s="1"/>
  <c r="M52"/>
  <c r="N51"/>
  <c r="M51"/>
  <c r="N49" l="1"/>
  <c r="M49"/>
  <c r="N44" l="1"/>
  <c r="M44"/>
  <c r="N37" l="1"/>
  <c r="M37"/>
  <c r="N36"/>
  <c r="M36"/>
  <c r="N35"/>
  <c r="M35"/>
  <c r="R27" l="1"/>
  <c r="Q27"/>
  <c r="N24" l="1"/>
  <c r="M24"/>
  <c r="J24"/>
  <c r="I24"/>
  <c r="N23"/>
  <c r="M23"/>
  <c r="N18" l="1"/>
  <c r="M18"/>
  <c r="N17"/>
  <c r="M17"/>
  <c r="N16"/>
  <c r="M16"/>
  <c r="N15"/>
  <c r="M15"/>
  <c r="N10" l="1"/>
  <c r="M10"/>
  <c r="N9"/>
  <c r="R9" s="1"/>
  <c r="M9"/>
  <c r="Q9" s="1"/>
  <c r="Q15" i="53"/>
  <c r="R15"/>
  <c r="S15"/>
  <c r="Q14"/>
  <c r="R14"/>
  <c r="J13"/>
  <c r="K13" s="1"/>
  <c r="L13" s="1"/>
  <c r="I13"/>
  <c r="N9"/>
  <c r="M9"/>
  <c r="H9"/>
  <c r="I9" s="1"/>
  <c r="J9" s="1"/>
  <c r="K9" s="1"/>
  <c r="M8"/>
  <c r="L9" l="1"/>
  <c r="N8"/>
  <c r="M39" i="52" l="1"/>
  <c r="H39"/>
  <c r="T32"/>
  <c r="T33"/>
  <c r="N25"/>
  <c r="M25"/>
  <c r="L24"/>
  <c r="K24"/>
  <c r="M21"/>
  <c r="M19"/>
  <c r="T12"/>
  <c r="S12"/>
  <c r="T24" i="53" l="1"/>
  <c r="R21" i="52" l="1"/>
  <c r="S21"/>
  <c r="T21"/>
  <c r="T19" l="1"/>
  <c r="S19"/>
  <c r="Q10"/>
  <c r="R10"/>
  <c r="Q8" i="53" l="1"/>
  <c r="Q19" i="52"/>
  <c r="W8" i="53" l="1"/>
  <c r="Z60" i="52" l="1"/>
  <c r="Y60"/>
  <c r="X60"/>
  <c r="W60"/>
  <c r="Y45"/>
  <c r="Y44"/>
  <c r="S13"/>
  <c r="Y13" s="1"/>
  <c r="T13"/>
  <c r="Z13" s="1"/>
  <c r="Z12"/>
  <c r="Y12"/>
  <c r="R12"/>
  <c r="X12" s="1"/>
  <c r="T45" l="1"/>
  <c r="Z45" s="1"/>
  <c r="R45"/>
  <c r="X45" s="1"/>
  <c r="Q45"/>
  <c r="W45" s="1"/>
  <c r="T25" l="1"/>
  <c r="Z25" s="1"/>
  <c r="S25"/>
  <c r="Y25" s="1"/>
  <c r="R25"/>
  <c r="X25" s="1"/>
  <c r="Q25"/>
  <c r="W25" s="1"/>
  <c r="Y10"/>
  <c r="Z10"/>
  <c r="Y9"/>
  <c r="Z9"/>
  <c r="H16" l="1"/>
  <c r="H15"/>
  <c r="Q13" i="53"/>
  <c r="S13"/>
  <c r="Q24"/>
  <c r="R24"/>
  <c r="S24"/>
  <c r="R8"/>
  <c r="X8" s="1"/>
  <c r="S8"/>
  <c r="Y8" s="1"/>
  <c r="Q9"/>
  <c r="W9" s="1"/>
  <c r="R9"/>
  <c r="X9" s="1"/>
  <c r="S9"/>
  <c r="V17" l="1"/>
  <c r="V21"/>
  <c r="V75" i="52" l="1"/>
  <c r="V22"/>
  <c r="R53"/>
  <c r="X53" s="1"/>
  <c r="S53"/>
  <c r="Y53" s="1"/>
  <c r="T53"/>
  <c r="Z53" s="1"/>
  <c r="Q53"/>
  <c r="W53" s="1"/>
  <c r="T16" l="1"/>
  <c r="Z16" s="1"/>
  <c r="T36" l="1"/>
  <c r="Z36" s="1"/>
  <c r="S36"/>
  <c r="Y36" s="1"/>
  <c r="R36"/>
  <c r="X36" s="1"/>
  <c r="Q36"/>
  <c r="W36" s="1"/>
  <c r="V47" l="1"/>
  <c r="V42"/>
  <c r="V38"/>
  <c r="V34"/>
  <c r="V30"/>
  <c r="V26"/>
  <c r="V20"/>
  <c r="V14"/>
  <c r="V11"/>
  <c r="V63"/>
  <c r="V61"/>
  <c r="V57"/>
  <c r="V54"/>
  <c r="V50"/>
  <c r="V76" l="1"/>
  <c r="T8" i="53"/>
  <c r="Z8" s="1"/>
  <c r="T75" i="52" l="1"/>
  <c r="S75"/>
  <c r="R75"/>
  <c r="Q75"/>
  <c r="Z74"/>
  <c r="Y74"/>
  <c r="R74"/>
  <c r="X74" s="1"/>
  <c r="W74"/>
  <c r="T16" i="53" l="1"/>
  <c r="Z16" s="1"/>
  <c r="S16"/>
  <c r="Y16" s="1"/>
  <c r="R16"/>
  <c r="X16" s="1"/>
  <c r="Q16"/>
  <c r="W16" s="1"/>
  <c r="T15"/>
  <c r="T13"/>
  <c r="T73" i="52"/>
  <c r="Z73" s="1"/>
  <c r="S73"/>
  <c r="Y73" s="1"/>
  <c r="X73"/>
  <c r="W73"/>
  <c r="T72"/>
  <c r="Z72" s="1"/>
  <c r="S72"/>
  <c r="Y72" s="1"/>
  <c r="X72"/>
  <c r="W72"/>
  <c r="Z71"/>
  <c r="Y71"/>
  <c r="X71"/>
  <c r="W71"/>
  <c r="T46"/>
  <c r="Z46" s="1"/>
  <c r="S46"/>
  <c r="Y46" s="1"/>
  <c r="R46"/>
  <c r="X46" s="1"/>
  <c r="Q46"/>
  <c r="W46" s="1"/>
  <c r="T44"/>
  <c r="Z44" s="1"/>
  <c r="R44"/>
  <c r="X44" s="1"/>
  <c r="Q44"/>
  <c r="W44" s="1"/>
  <c r="T43"/>
  <c r="Z43" s="1"/>
  <c r="S43"/>
  <c r="Y43" s="1"/>
  <c r="R43"/>
  <c r="X43" s="1"/>
  <c r="Q43"/>
  <c r="W43" s="1"/>
  <c r="T41"/>
  <c r="Z41" s="1"/>
  <c r="S41"/>
  <c r="Y41" s="1"/>
  <c r="R41"/>
  <c r="X41" s="1"/>
  <c r="Q41"/>
  <c r="W41" s="1"/>
  <c r="T40"/>
  <c r="Z40" s="1"/>
  <c r="S40"/>
  <c r="Y40" s="1"/>
  <c r="R40"/>
  <c r="X40" s="1"/>
  <c r="Q40"/>
  <c r="W40" s="1"/>
  <c r="T70"/>
  <c r="S70"/>
  <c r="R70"/>
  <c r="Q70"/>
  <c r="T63"/>
  <c r="S63"/>
  <c r="R63"/>
  <c r="Q63"/>
  <c r="T61"/>
  <c r="S61"/>
  <c r="R61"/>
  <c r="Q61"/>
  <c r="T57"/>
  <c r="S57"/>
  <c r="R57"/>
  <c r="Q57"/>
  <c r="T54"/>
  <c r="S54"/>
  <c r="R54"/>
  <c r="Q54"/>
  <c r="T50"/>
  <c r="S50"/>
  <c r="R50"/>
  <c r="Q50"/>
  <c r="T47"/>
  <c r="S47"/>
  <c r="R47"/>
  <c r="Q47"/>
  <c r="Z42" l="1"/>
  <c r="X75"/>
  <c r="W75"/>
  <c r="Y75"/>
  <c r="Z17" i="53"/>
  <c r="Z18" s="1"/>
  <c r="X42" i="52"/>
  <c r="W42"/>
  <c r="Y42"/>
  <c r="Z75"/>
  <c r="W47"/>
  <c r="Z47"/>
  <c r="Y47"/>
  <c r="X47"/>
  <c r="T42"/>
  <c r="S42"/>
  <c r="R42"/>
  <c r="Q42"/>
  <c r="T38"/>
  <c r="S38"/>
  <c r="R38"/>
  <c r="Q38"/>
  <c r="T34"/>
  <c r="S34"/>
  <c r="R34"/>
  <c r="Q34"/>
  <c r="T30"/>
  <c r="S30"/>
  <c r="R30"/>
  <c r="Q30"/>
  <c r="B13" i="53" l="1"/>
  <c r="T37" i="52" l="1"/>
  <c r="Z37" s="1"/>
  <c r="S37"/>
  <c r="Y37" s="1"/>
  <c r="R37"/>
  <c r="X37" s="1"/>
  <c r="Q37"/>
  <c r="W37" s="1"/>
  <c r="T64" l="1"/>
  <c r="Z64" s="1"/>
  <c r="Z70" s="1"/>
  <c r="S64"/>
  <c r="Y64" s="1"/>
  <c r="Y70" s="1"/>
  <c r="R64"/>
  <c r="X64" s="1"/>
  <c r="Q64"/>
  <c r="W64" s="1"/>
  <c r="T62"/>
  <c r="Z62" s="1"/>
  <c r="S62"/>
  <c r="Y62" s="1"/>
  <c r="R62"/>
  <c r="X62" s="1"/>
  <c r="Q62"/>
  <c r="W62" s="1"/>
  <c r="T59"/>
  <c r="Z59" s="1"/>
  <c r="S59"/>
  <c r="Y59" s="1"/>
  <c r="R59"/>
  <c r="X59" s="1"/>
  <c r="W59"/>
  <c r="T58"/>
  <c r="Z58" s="1"/>
  <c r="S58"/>
  <c r="Y58" s="1"/>
  <c r="Q58"/>
  <c r="T56"/>
  <c r="Z56" s="1"/>
  <c r="S56"/>
  <c r="Y56" s="1"/>
  <c r="X56"/>
  <c r="W56"/>
  <c r="T55"/>
  <c r="Z55" s="1"/>
  <c r="S55"/>
  <c r="Y55" s="1"/>
  <c r="X55"/>
  <c r="W55"/>
  <c r="T52"/>
  <c r="Z52" s="1"/>
  <c r="S52"/>
  <c r="Y52" s="1"/>
  <c r="R52"/>
  <c r="X52" s="1"/>
  <c r="Q52"/>
  <c r="W52" s="1"/>
  <c r="T51"/>
  <c r="Z51" s="1"/>
  <c r="S51"/>
  <c r="Y51" s="1"/>
  <c r="R51"/>
  <c r="X51" s="1"/>
  <c r="Q51"/>
  <c r="W51" s="1"/>
  <c r="T49"/>
  <c r="Z49" s="1"/>
  <c r="S49"/>
  <c r="Y49" s="1"/>
  <c r="R49"/>
  <c r="X49" s="1"/>
  <c r="Q49"/>
  <c r="W49" s="1"/>
  <c r="T48"/>
  <c r="Z48" s="1"/>
  <c r="S48"/>
  <c r="Y48" s="1"/>
  <c r="R48"/>
  <c r="X48" s="1"/>
  <c r="Q48"/>
  <c r="W48" s="1"/>
  <c r="T26"/>
  <c r="S26"/>
  <c r="R26"/>
  <c r="Q26"/>
  <c r="T35"/>
  <c r="Z35" s="1"/>
  <c r="S35"/>
  <c r="Y35" s="1"/>
  <c r="R35"/>
  <c r="X35" s="1"/>
  <c r="Q35"/>
  <c r="W35" s="1"/>
  <c r="T27"/>
  <c r="Z27" s="1"/>
  <c r="S27"/>
  <c r="Y27" s="1"/>
  <c r="X27"/>
  <c r="W27"/>
  <c r="Z19"/>
  <c r="Y19"/>
  <c r="R19"/>
  <c r="X19" s="1"/>
  <c r="W19"/>
  <c r="W58" l="1"/>
  <c r="R58"/>
  <c r="X58" s="1"/>
  <c r="Z38"/>
  <c r="Y38"/>
  <c r="X38"/>
  <c r="W38"/>
  <c r="V25" i="53" l="1"/>
  <c r="Z24"/>
  <c r="Z25" s="1"/>
  <c r="Y24"/>
  <c r="Y25" s="1"/>
  <c r="X24"/>
  <c r="X25" s="1"/>
  <c r="W24"/>
  <c r="W25" s="1"/>
  <c r="Y17"/>
  <c r="W17"/>
  <c r="V10"/>
  <c r="T9"/>
  <c r="X10"/>
  <c r="Z26" l="1"/>
  <c r="W26"/>
  <c r="Z10"/>
  <c r="Z11" s="1"/>
  <c r="W18"/>
  <c r="V27"/>
  <c r="Y26"/>
  <c r="W10"/>
  <c r="W11" s="1"/>
  <c r="X26"/>
  <c r="Y10"/>
  <c r="X11"/>
  <c r="Y18"/>
  <c r="Y11" l="1"/>
  <c r="X70" i="52" l="1"/>
  <c r="W70"/>
  <c r="X63"/>
  <c r="W63"/>
  <c r="Z61"/>
  <c r="Y61"/>
  <c r="X61"/>
  <c r="W61"/>
  <c r="Z57"/>
  <c r="Y57"/>
  <c r="X57"/>
  <c r="W57"/>
  <c r="W54"/>
  <c r="Z50"/>
  <c r="Y50"/>
  <c r="X50"/>
  <c r="W50"/>
  <c r="T39"/>
  <c r="Z39" s="1"/>
  <c r="S39"/>
  <c r="Y39" s="1"/>
  <c r="R39"/>
  <c r="X39" s="1"/>
  <c r="Q39"/>
  <c r="W39" s="1"/>
  <c r="Z33"/>
  <c r="S33"/>
  <c r="Y33" s="1"/>
  <c r="R33"/>
  <c r="X33" s="1"/>
  <c r="Q33"/>
  <c r="W33" s="1"/>
  <c r="Z32"/>
  <c r="S32"/>
  <c r="Y32" s="1"/>
  <c r="R32"/>
  <c r="X32" s="1"/>
  <c r="Q32"/>
  <c r="W32" s="1"/>
  <c r="T31"/>
  <c r="Z31" s="1"/>
  <c r="S31"/>
  <c r="Y31" s="1"/>
  <c r="R31"/>
  <c r="X31" s="1"/>
  <c r="Q31"/>
  <c r="W31" s="1"/>
  <c r="T29"/>
  <c r="Z29" s="1"/>
  <c r="S29"/>
  <c r="Y29" s="1"/>
  <c r="R29"/>
  <c r="X29" s="1"/>
  <c r="W29"/>
  <c r="T28"/>
  <c r="S28"/>
  <c r="R28"/>
  <c r="X28" s="1"/>
  <c r="Q28"/>
  <c r="W28" s="1"/>
  <c r="T24"/>
  <c r="Z24" s="1"/>
  <c r="S24"/>
  <c r="Y24" s="1"/>
  <c r="R24"/>
  <c r="X24" s="1"/>
  <c r="Q24"/>
  <c r="W24" s="1"/>
  <c r="T23"/>
  <c r="Z23" s="1"/>
  <c r="S23"/>
  <c r="Y23" s="1"/>
  <c r="R23"/>
  <c r="X23" s="1"/>
  <c r="Q23"/>
  <c r="W23" s="1"/>
  <c r="T22"/>
  <c r="S22"/>
  <c r="R22"/>
  <c r="Q22"/>
  <c r="Z21"/>
  <c r="Y21"/>
  <c r="Y22" s="1"/>
  <c r="X21"/>
  <c r="X22" s="1"/>
  <c r="Q21"/>
  <c r="W21" s="1"/>
  <c r="W22" s="1"/>
  <c r="Z18"/>
  <c r="Y18"/>
  <c r="X18"/>
  <c r="W18"/>
  <c r="T17"/>
  <c r="Z17" s="1"/>
  <c r="S17"/>
  <c r="Y17" s="1"/>
  <c r="R17"/>
  <c r="X17" s="1"/>
  <c r="Q17"/>
  <c r="W17" s="1"/>
  <c r="S16"/>
  <c r="Y16" s="1"/>
  <c r="R16"/>
  <c r="X16" s="1"/>
  <c r="Q16"/>
  <c r="W16" s="1"/>
  <c r="Z15"/>
  <c r="Y15"/>
  <c r="R15"/>
  <c r="X15" s="1"/>
  <c r="Q15"/>
  <c r="W15" s="1"/>
  <c r="R13"/>
  <c r="X13" s="1"/>
  <c r="Q13"/>
  <c r="W13" s="1"/>
  <c r="Q12"/>
  <c r="W12" s="1"/>
  <c r="X10"/>
  <c r="W10"/>
  <c r="X9"/>
  <c r="W9"/>
  <c r="Z28" l="1"/>
  <c r="Z30" s="1"/>
  <c r="Y28"/>
  <c r="Y30" s="1"/>
  <c r="X11"/>
  <c r="Z11"/>
  <c r="X34"/>
  <c r="W34"/>
  <c r="Y34"/>
  <c r="X30"/>
  <c r="W30"/>
  <c r="Y11"/>
  <c r="Z63"/>
  <c r="Y63"/>
  <c r="Y54"/>
  <c r="Z54"/>
  <c r="X54"/>
  <c r="Z34"/>
  <c r="Z20"/>
  <c r="X20"/>
  <c r="W20"/>
  <c r="Y20"/>
  <c r="Z14"/>
  <c r="Y14"/>
  <c r="X14"/>
  <c r="W14"/>
  <c r="Z26"/>
  <c r="Y26"/>
  <c r="X26"/>
  <c r="W26"/>
  <c r="W11"/>
  <c r="Z22"/>
  <c r="W76" l="1"/>
  <c r="X76"/>
  <c r="N20" i="53" s="1"/>
  <c r="R20" s="1"/>
  <c r="Z76" i="52"/>
  <c r="P20" i="53" s="1"/>
  <c r="Y76" i="52"/>
  <c r="O20" i="53" s="1"/>
  <c r="T20" l="1"/>
  <c r="Z20" s="1"/>
  <c r="Z21" s="1"/>
  <c r="Z22" s="1"/>
  <c r="X20"/>
  <c r="X21" s="1"/>
  <c r="S20"/>
  <c r="Y20" s="1"/>
  <c r="Y21" s="1"/>
  <c r="Q20"/>
  <c r="W20" s="1"/>
  <c r="W21" s="1"/>
  <c r="Y22" l="1"/>
  <c r="Y27"/>
  <c r="X22"/>
  <c r="W22"/>
  <c r="W27"/>
  <c r="Z27"/>
  <c r="R13"/>
  <c r="X17" s="1"/>
  <c r="X18" l="1"/>
  <c r="X27"/>
</calcChain>
</file>

<file path=xl/sharedStrings.xml><?xml version="1.0" encoding="utf-8"?>
<sst xmlns="http://schemas.openxmlformats.org/spreadsheetml/2006/main" count="448" uniqueCount="209">
  <si>
    <t>Formula</t>
  </si>
  <si>
    <t>Maxim.</t>
  </si>
  <si>
    <t>Minim.</t>
  </si>
  <si>
    <t>Período evaluado:</t>
  </si>
  <si>
    <t xml:space="preserve"> Nombre del indicador</t>
  </si>
  <si>
    <t>Unidades</t>
  </si>
  <si>
    <t>Frecuencia Medición</t>
  </si>
  <si>
    <t>Meta trimestral</t>
  </si>
  <si>
    <t>Resultado trimestral</t>
  </si>
  <si>
    <t>Desempeño trimestral</t>
  </si>
  <si>
    <t>Tendencia</t>
  </si>
  <si>
    <t>Ponderac.</t>
  </si>
  <si>
    <t>Desempeño pond. - Trimestral</t>
  </si>
  <si>
    <t>Menor al 80%: Desempeño insatisfactorio</t>
  </si>
  <si>
    <t>Superior al 100%: Desempeño sobresaliente.</t>
  </si>
  <si>
    <t>Objetivo</t>
  </si>
  <si>
    <t>Entre el 95 y el 100%: Desempeño satisfactorio</t>
  </si>
  <si>
    <t>Responsable de la gestión del indicador</t>
  </si>
  <si>
    <t>Subtotales perspectiva financiera</t>
  </si>
  <si>
    <t>Desempeño perspectiva financiera</t>
  </si>
  <si>
    <t>Subtotales perspectiva clientes</t>
  </si>
  <si>
    <t>Desempeño perspectiva clientes</t>
  </si>
  <si>
    <t>Subtotales perspectiva procesos internos</t>
  </si>
  <si>
    <t>Desempeño perspectiva procesos internos</t>
  </si>
  <si>
    <t>Entre 81% y 94%: Desempeño Regular</t>
  </si>
  <si>
    <t xml:space="preserve">Frecuencia de actualización: </t>
  </si>
  <si>
    <t>INDICADORES BSC - NIVEL I (PLANEACIÓN ESTRATÉGICA).</t>
  </si>
  <si>
    <t>1.  Generar márgenes de rentabilidad para un desempeño financiero que permita la permanencia y consolidación en el mercado.</t>
  </si>
  <si>
    <t>Rentabilidad Operacional</t>
  </si>
  <si>
    <t>Gestión de los Recursos Financieros</t>
  </si>
  <si>
    <t>Proceso lider</t>
  </si>
  <si>
    <t xml:space="preserve"> INDICADORES BSC - NIVEL II (PROCESOS).</t>
  </si>
  <si>
    <t>PROCESO</t>
  </si>
  <si>
    <t>Endeudamiento</t>
  </si>
  <si>
    <t>Liquidez</t>
  </si>
  <si>
    <t>Desempeño del proceso de Gestion de Recursos Financieros</t>
  </si>
  <si>
    <t>Transferencias entregadas al Departamento</t>
  </si>
  <si>
    <t>Gestión Comercial y de Mercadeo</t>
  </si>
  <si>
    <t>4.   Aumentar la satisfacción del cliente en un 95% al 2019.</t>
  </si>
  <si>
    <t>Medición de la satisfacción del cliente</t>
  </si>
  <si>
    <t xml:space="preserve">Responsable </t>
  </si>
  <si>
    <t>PERSPECTIVA FINANCIERA</t>
  </si>
  <si>
    <t>PERSPECTIVA CLIENTES</t>
  </si>
  <si>
    <t>Gestion comercial y de Mercadeo</t>
  </si>
  <si>
    <t>5.   Mejorar el nivel de aceptación de la empresa y de marca dentro de la comunidad Vallecaucana.</t>
  </si>
  <si>
    <t>6.   Fortalecer permanentemente los mecanismos de seguridad de los productos.</t>
  </si>
  <si>
    <t>Cumplimiento de implementacion de mecanismos de seguridad de los productos</t>
  </si>
  <si>
    <t>PERSPECTIVA PROCESOS INTERNOS</t>
  </si>
  <si>
    <t>Nivel de desempeño de los procesos del SIGILV</t>
  </si>
  <si>
    <t>Gestión del Sistema Integrado</t>
  </si>
  <si>
    <t>8.   Mejorar el nivel de competencia de personal.</t>
  </si>
  <si>
    <t>Análisis de cumplimiento de competencias</t>
  </si>
  <si>
    <t>Gestión del Talento Humano</t>
  </si>
  <si>
    <t>Gestión Tecnológica</t>
  </si>
  <si>
    <t>Nivel de cumplimiento en el despacho de producto terminado.</t>
  </si>
  <si>
    <t xml:space="preserve">Nivel de preservación en Almacén general </t>
  </si>
  <si>
    <t>Nivel de desperdicio de licor</t>
  </si>
  <si>
    <t>Nivel de satisfacción del cliente interno en Almacén general.</t>
  </si>
  <si>
    <t xml:space="preserve">PERSPECTIVA CRECIMIENTO  Y APRENDIZAJE </t>
  </si>
  <si>
    <t xml:space="preserve">Desempeño perspectiva Crecimiento y aprendizaje </t>
  </si>
  <si>
    <t>Cumplimiento oportuno del Plan de Comunicación</t>
  </si>
  <si>
    <t xml:space="preserve">Porcentaje de desperdicio de material de empaque </t>
  </si>
  <si>
    <t>Costos de producción</t>
  </si>
  <si>
    <t xml:space="preserve"> Cumplimiento de programa de producción</t>
  </si>
  <si>
    <t>Procesos Judiciales</t>
  </si>
  <si>
    <t xml:space="preserve">Oportunidad en la respuesta de derechos de petición.
</t>
  </si>
  <si>
    <t xml:space="preserve">Cumplimiento de contratación
</t>
  </si>
  <si>
    <t>Gestion juridica</t>
  </si>
  <si>
    <t xml:space="preserve"> Acciones de mejora del SIGILV</t>
  </si>
  <si>
    <t xml:space="preserve"> Eficacia del cierre de hallazgos por ciclo de auditorías internas.
</t>
  </si>
  <si>
    <t xml:space="preserve">Cumplimiento del programa de auditorías internas de calidad.
</t>
  </si>
  <si>
    <t>Costos de Energía</t>
  </si>
  <si>
    <t>Costos de mantenimiento</t>
  </si>
  <si>
    <t xml:space="preserve">Cumplimiento Plan general de calibración
</t>
  </si>
  <si>
    <t>Gestión Mantenimiento y Control de Equipos</t>
  </si>
  <si>
    <t xml:space="preserve">
Efectividad de la capacitación
</t>
  </si>
  <si>
    <t xml:space="preserve">
Gestión Calidad del Producto
</t>
  </si>
  <si>
    <t>Índice de calidad de materia prima</t>
  </si>
  <si>
    <t>Eficacia del cierre de No Conformidades</t>
  </si>
  <si>
    <t>Eficacia de análisis de laboratorio</t>
  </si>
  <si>
    <t xml:space="preserve">
Calidad del producto envasado en ILV
</t>
  </si>
  <si>
    <t xml:space="preserve">Satisfacción usuarios de sistemas de información
</t>
  </si>
  <si>
    <t xml:space="preserve">Eficacia servicios de sistemas
</t>
  </si>
  <si>
    <t xml:space="preserve">Subtotales perspectiva Crecimiento y aprendizaje </t>
  </si>
  <si>
    <t>Índice de calidad de órdenes de compra</t>
  </si>
  <si>
    <t xml:space="preserve">Confiabilidad de proveedores
</t>
  </si>
  <si>
    <t>Devoluciones órdenes de compra mal elaboradas</t>
  </si>
  <si>
    <t>Gestión de Adquisiciones y Suministros</t>
  </si>
  <si>
    <t xml:space="preserve">Satisfacción de los clientes del servicio de ventanilla única.
</t>
  </si>
  <si>
    <t xml:space="preserve"> Aplicación de las Tablas de retención documental
</t>
  </si>
  <si>
    <t>Gestión Documental</t>
  </si>
  <si>
    <t>Cumplimiento de Auditorías adicionales.</t>
  </si>
  <si>
    <t xml:space="preserve">
Eficacia del cierre de auditorías
</t>
  </si>
  <si>
    <t xml:space="preserve">Cumplimiento Plan anual de auditorías de Control Interno
</t>
  </si>
  <si>
    <t>Gestión Control Interno</t>
  </si>
  <si>
    <t xml:space="preserve">Cumplimiento ejecución presupuestal
</t>
  </si>
  <si>
    <t>Gestión de la Infraestructura Física</t>
  </si>
  <si>
    <t>Gestión del Sistema Ambiental</t>
  </si>
  <si>
    <t>Cumplimiento requerimientos legales ambientales</t>
  </si>
  <si>
    <t>Gestión del Sistema de Seguridad y Salud en el trabajo (SSST)</t>
  </si>
  <si>
    <t>Subgerente Financiero</t>
  </si>
  <si>
    <t>%</t>
  </si>
  <si>
    <t>Semestral</t>
  </si>
  <si>
    <t>(Utilidad Operacional/Ingresos Operacionales) * 100</t>
  </si>
  <si>
    <t>Valor de las transferencias de acuerdo a los impuestos recaudados en el año.</t>
  </si>
  <si>
    <t>Pesos</t>
  </si>
  <si>
    <t>Anual</t>
  </si>
  <si>
    <t>DESEMPEÑO GLOBAL DE LA ORGANIZACIÓN</t>
  </si>
  <si>
    <t>(Pasivo Total/Activo Total) * 100</t>
  </si>
  <si>
    <t>Mensual</t>
  </si>
  <si>
    <t>Activo Corriente/Pasivo Corriente</t>
  </si>
  <si>
    <t>Meta anual (2017)</t>
  </si>
  <si>
    <t>Subgerente de Mercadeo</t>
  </si>
  <si>
    <t>(# Unds de 750 vendidas presente año - # Unds de 750 vendidas año anterior / # Unds de 750 vendidas año anterior) * 100</t>
  </si>
  <si>
    <t>Subgerente Comercial y de Mercadeo</t>
  </si>
  <si>
    <t>(# Unds de 750 exportadas presente año - # Unds de 750 exportadas año anterior / # Unds de 750 exportadas año anterior) * 100</t>
  </si>
  <si>
    <t>Trimestral</t>
  </si>
  <si>
    <t xml:space="preserve">Cumplimiento de las actividades de bienestar social
</t>
  </si>
  <si>
    <t>Porcentaje obtenido en las encuestas de satisfacción del cliente</t>
  </si>
  <si>
    <t>Gestión de Producción.</t>
  </si>
  <si>
    <t>Nivel de aceptacion de las marcas Aguardiente y Ron</t>
  </si>
  <si>
    <t>Dersempeño del proceso Gestion de Producción</t>
  </si>
  <si>
    <t>Desempeño del proceso Gestion Jurídica</t>
  </si>
  <si>
    <t>Desempeño del proceso Gestión del Sistema Integrado</t>
  </si>
  <si>
    <t>Desempeño del proceso Gestión Mantenimiento y Control de Equipos</t>
  </si>
  <si>
    <t>Desempeño del proceso Gestión Calidad del Producto</t>
  </si>
  <si>
    <t>Desempeño del proceso Gestión Tecnológica</t>
  </si>
  <si>
    <t>Desempeño del proceso Gestión de Adquisiciones y Suministros</t>
  </si>
  <si>
    <t>Desempeño del proceso Gestión Documental</t>
  </si>
  <si>
    <t>Desempeño del proceso Gestión Control Interno</t>
  </si>
  <si>
    <t>Desempeño del proceso Gestión de la Infraestructura Fisica</t>
  </si>
  <si>
    <t>Desempeño del proceso Gestión del Sistema Ambiental</t>
  </si>
  <si>
    <t>Desempeño del proceso Gestion del Talento Humano</t>
  </si>
  <si>
    <t>Desempeño del proceso Gestión del Sistema de Seguridad y Salud en el Trabajo</t>
  </si>
  <si>
    <t xml:space="preserve"> Nivel de preservación y entrega de licor  </t>
  </si>
  <si>
    <t>Gestion Logística (Producto terminado)</t>
  </si>
  <si>
    <t>Desempeño del proceso Gestion Logística Abastecimiento y Producto Teminado)</t>
  </si>
  <si>
    <t>(# Cajas por Quejas y Reclamos por Lote / # Cajas Despachadas por Lote) * 100</t>
  </si>
  <si>
    <t>Subgerente de Producción</t>
  </si>
  <si>
    <t>(Valor Unds. Rotas + Valor Unds. Obsoletas en el mes / Valor Inventario Total Promedio) * 100</t>
  </si>
  <si>
    <t>(Pedidos entregados en el periodo sin falla / Pedidos Totales atendidos en el periodo) * 100</t>
  </si>
  <si>
    <t>Gestion Logística (Abastecimiento)</t>
  </si>
  <si>
    <t>(Costo Unds Dañadas + Costo Unds Obsoletas) / Costo Unds Disponibles en Inventarios) * 100</t>
  </si>
  <si>
    <t>Subgerente Administrativa</t>
  </si>
  <si>
    <t>Resultado de la encuesta de satisfacción del cliente interno</t>
  </si>
  <si>
    <t>Peso porcentual de cada actividad de acuerdo al impacto que genera en clientes internos y externos; y se mide el cumplimiento del total de ese porcentaje en la fecha establecida.</t>
  </si>
  <si>
    <t>Secretario General</t>
  </si>
  <si>
    <t>NIVEL DE DESEMPEÑO DE LOS PROCESOS DEL SIGILV</t>
  </si>
  <si>
    <t>Gestión de producción</t>
  </si>
  <si>
    <t>Gestión de la Comunicación Pública</t>
  </si>
  <si>
    <t>Desempeño del proceso Gestión de la Comunicación Pública</t>
  </si>
  <si>
    <t>(# Roturas / Producción total) * 100</t>
  </si>
  <si>
    <t>$ Costo Total de Producción / # Unidades producidas</t>
  </si>
  <si>
    <t>$ por Unidad</t>
  </si>
  <si>
    <t>(Producción Real / Producción Programada) * 100</t>
  </si>
  <si>
    <t>(# Contratos elaborados / # solicitudes de contrato) * 100</t>
  </si>
  <si>
    <t>Subgerente Jurídico</t>
  </si>
  <si>
    <t>(# Setencias Favorables / Total Sentencias) * 100</t>
  </si>
  <si>
    <t>(# Derechos de petición contestados oportunamente / Total Derechos de petición radicados) * 100</t>
  </si>
  <si>
    <t>(# Auditorías realizadas en la fecha establecida / # Auditorías Programadas) * 100</t>
  </si>
  <si>
    <t>(# Hallazgos cerrados por ciclo / Total Hallazgos abiertos) * 100</t>
  </si>
  <si>
    <t xml:space="preserve">(# Acciones de mejora cerradas / Total Acciones de mejora Abiertas </t>
  </si>
  <si>
    <t>(# Actividades del Plan de calibración cumplidas / # Total Actividades programadas) * 100</t>
  </si>
  <si>
    <t>($ Costo Mantenimiento mensual / # Unds. de 750 producidas en el mes) * 100</t>
  </si>
  <si>
    <t>($ Costo de Energía por Mes / # Unds. de 750 producidas) * 100</t>
  </si>
  <si>
    <t>(#Personas que mejoraron su desempeño a partir del plan de capacitación / Total de personas evaluadas) * 100</t>
  </si>
  <si>
    <t xml:space="preserve">% </t>
  </si>
  <si>
    <t>(# Trabajadores que cumplen con las competencias / # Trabajadores a los que se le realizó el análisis) * 100</t>
  </si>
  <si>
    <t>(# Colaboradores que cumplieron el Plan de Mejoramiento Individual / Total Trabajadores que suscribieron plan de mejoramiento) * 100</t>
  </si>
  <si>
    <t>(# Actividades ejecutadas dentro del tiempo previsto / Total Actividades definidas en el plan de capacitación) * 100</t>
  </si>
  <si>
    <t>(# Lotes Aceptados / # Lotes Analizados de producto) *100</t>
  </si>
  <si>
    <t>Gerente General</t>
  </si>
  <si>
    <t>(# Lotes Rechazados / # Lotes Analizados) * 100</t>
  </si>
  <si>
    <t>(# No Conformidades Cerradas / # No Conformidades Abiertas) * 100</t>
  </si>
  <si>
    <t>(# Análisis atendidos en el día / # Análisis solicitados en el día) * 100</t>
  </si>
  <si>
    <t>(# Solicitudes cumplidas en el tiempo asignado / Total Solicitudes) * 100</t>
  </si>
  <si>
    <t>Resultado de la encuesta de satisfacción de Usuarios</t>
  </si>
  <si>
    <t>(# Proveedores Activos Críticos Tipo A / Total Proveedores Críticos) * 100</t>
  </si>
  <si>
    <t>(Total órdenes de compr que incumplen especificaciones técnicas del producto / total órdenes de compra generadas) * 100</t>
  </si>
  <si>
    <t>(# Ordenes de compra mal elaboradas / # Ordenes de compra generadas) * 100</t>
  </si>
  <si>
    <t>(#Unidades de Gestión con TRD aplicadas / # Unidades de Gestión) * 100</t>
  </si>
  <si>
    <t>(# Encuestados que califican satisfecha y/o muy satisfecho / Total encuestados) * 100</t>
  </si>
  <si>
    <t>Subgerente de Control Interno</t>
  </si>
  <si>
    <t>Cuatrimestral</t>
  </si>
  <si>
    <t>(# Auditorías adicionales ejecutadas / # Solicitudes de auditorías adicionales) * 100</t>
  </si>
  <si>
    <t>(# Auditorías Ejecutadas / # Auditorías Programadas) * 100</t>
  </si>
  <si>
    <t>(# Auditorías Cerradas / # Auditorías Abiertas) * 100</t>
  </si>
  <si>
    <t>(Presupuesto Ejecutado / Presupuesto Programado) * 100</t>
  </si>
  <si>
    <t>(# Requerimientos cumplidos / # Requerimientos establecidos por Autoridad Ambiental) * 100</t>
  </si>
  <si>
    <t>7.   Fortalecer y promover en la industria la capacidad gerencial, administrativa, financiera y el desempeño institucional, mediante la mejora continua del SIGILV (sistema integrado de gestión)</t>
  </si>
  <si>
    <t>Millonesde botellas de 750</t>
  </si>
  <si>
    <t xml:space="preserve">millones de pesos </t>
  </si>
  <si>
    <t>botellas de 750 vendidas en el año</t>
  </si>
  <si>
    <t>total de botellas producidas con  /total de botellas de seguridad *100</t>
  </si>
  <si>
    <t>Semestre</t>
  </si>
  <si>
    <t>Desempeño del proceso de Gestion comercial y de mercadeo</t>
  </si>
  <si>
    <t>promedio ponderado de los resultados de los indicadores de todos los procesos</t>
  </si>
  <si>
    <t>cumplimiento ventas nacional</t>
  </si>
  <si>
    <t xml:space="preserve">cumplimiento ventas exterior </t>
  </si>
  <si>
    <t>Analisis del cumplimiento de competencias</t>
  </si>
  <si>
    <t>2.   Incrementar en un 248 mil millones  las transferencias al Departamento durante el periodo de gobierno (2016-2019).</t>
  </si>
  <si>
    <t>3.   Vender 22 millones de botellas de 750 cc cada año de gobierno (2016-2019).</t>
  </si>
  <si>
    <t>Meta anual (2021)</t>
  </si>
  <si>
    <t># casos</t>
  </si>
  <si>
    <t xml:space="preserve"># de casos </t>
  </si>
  <si>
    <t xml:space="preserve">Anual </t>
  </si>
  <si>
    <t xml:space="preserve">mensual </t>
  </si>
  <si>
    <t>DESEMPEÑO GLOBAL DE LA ORGANIZACIÓN - INDICADORES DE NIVEL I
DICIEMBRE  31 DE 2021</t>
  </si>
  <si>
    <t>DESEMPEÑO DE LOS PROCESO DEL SISTEMA INTEGRADO DE GESTIÓN (SIGILV) - INDICADORES NIVEL II  A DICIEMBRE  31 DE 2021</t>
  </si>
</sst>
</file>

<file path=xl/styles.xml><?xml version="1.0" encoding="utf-8"?>
<styleSheet xmlns="http://schemas.openxmlformats.org/spreadsheetml/2006/main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 &quot;R&quot;\ * #,##0.00_ ;_ &quot;R&quot;\ * \-#,##0.00_ ;_ &quot;R&quot;\ * &quot;-&quot;??_ ;_ @_ "/>
    <numFmt numFmtId="166" formatCode="0.0%"/>
    <numFmt numFmtId="167" formatCode="_(* #,##0_);_(* \(#,##0\);_(* &quot;-&quot;??_);_(@_)"/>
    <numFmt numFmtId="168" formatCode="_(&quot;$&quot;\ * #,##0_);_(&quot;$&quot;\ * \(#,##0\);_(&quot;$&quot;\ * &quot;-&quot;??_);_(@_)"/>
    <numFmt numFmtId="169" formatCode="_-* #,##0.0_-;\-* #,##0.0_-;_-* &quot;-&quot;_-;_-@_-"/>
    <numFmt numFmtId="170" formatCode="_(* #,##0.0_);_(* \(#,##0.0\);_(* &quot;-&quot;??_);_(@_)"/>
    <numFmt numFmtId="171" formatCode="#,##0_ ;\-#,##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aiandra GD"/>
      <family val="2"/>
    </font>
    <font>
      <b/>
      <sz val="11"/>
      <color theme="0"/>
      <name val="Maiandra GD"/>
      <family val="2"/>
    </font>
    <font>
      <sz val="11"/>
      <name val="Maiandra GD"/>
      <family val="2"/>
    </font>
    <font>
      <b/>
      <sz val="11"/>
      <name val="Maiandra GD"/>
      <family val="2"/>
    </font>
    <font>
      <b/>
      <sz val="14"/>
      <name val="Maiandra GD"/>
      <family val="2"/>
    </font>
    <font>
      <b/>
      <sz val="10"/>
      <name val="Maiandra GD"/>
      <family val="2"/>
    </font>
    <font>
      <b/>
      <sz val="10"/>
      <color theme="0"/>
      <name val="Maiandra GD"/>
      <family val="2"/>
    </font>
    <font>
      <i/>
      <sz val="11"/>
      <name val="Maiandra GD"/>
      <family val="2"/>
    </font>
    <font>
      <sz val="11"/>
      <color theme="0"/>
      <name val="Maiandra GD"/>
      <family val="2"/>
    </font>
    <font>
      <b/>
      <sz val="22"/>
      <color theme="1"/>
      <name val="Maiandra GD"/>
      <family val="2"/>
    </font>
    <font>
      <b/>
      <sz val="16"/>
      <name val="Maiandra GD"/>
      <family val="2"/>
    </font>
    <font>
      <sz val="11"/>
      <name val="Maiandra GD"/>
      <family val="2"/>
    </font>
  </fonts>
  <fills count="1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3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ck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5" fillId="0" borderId="0" xfId="0" applyFont="1"/>
    <xf numFmtId="0" fontId="7" fillId="0" borderId="0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top"/>
    </xf>
    <xf numFmtId="0" fontId="5" fillId="4" borderId="1" xfId="0" applyFont="1" applyFill="1" applyBorder="1"/>
    <xf numFmtId="0" fontId="5" fillId="5" borderId="1" xfId="0" applyFont="1" applyFill="1" applyBorder="1"/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66" fontId="5" fillId="0" borderId="5" xfId="1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9" fontId="3" fillId="0" borderId="17" xfId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/>
    <xf numFmtId="0" fontId="7" fillId="0" borderId="12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10" fillId="0" borderId="16" xfId="1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1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9" fontId="4" fillId="2" borderId="16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2" borderId="17" xfId="0" applyNumberFormat="1" applyFont="1" applyFill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 wrapText="1"/>
    </xf>
    <xf numFmtId="9" fontId="5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11" fillId="2" borderId="8" xfId="0" applyFont="1" applyFill="1" applyBorder="1" applyAlignment="1">
      <alignment horizontal="center" vertical="center" wrapText="1"/>
    </xf>
    <xf numFmtId="9" fontId="4" fillId="2" borderId="20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9" fontId="4" fillId="7" borderId="5" xfId="0" applyNumberFormat="1" applyFont="1" applyFill="1" applyBorder="1" applyAlignment="1">
      <alignment horizontal="center" vertical="center" wrapText="1"/>
    </xf>
    <xf numFmtId="9" fontId="5" fillId="0" borderId="2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8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9" fontId="5" fillId="0" borderId="23" xfId="1" applyFont="1" applyBorder="1" applyAlignment="1">
      <alignment horizontal="center" vertical="center" wrapText="1"/>
    </xf>
    <xf numFmtId="9" fontId="5" fillId="0" borderId="24" xfId="1" applyFont="1" applyBorder="1" applyAlignment="1">
      <alignment horizontal="center" vertical="center" wrapText="1"/>
    </xf>
    <xf numFmtId="9" fontId="5" fillId="0" borderId="26" xfId="1" applyFont="1" applyBorder="1" applyAlignment="1">
      <alignment horizontal="center" vertical="center" wrapText="1"/>
    </xf>
    <xf numFmtId="9" fontId="5" fillId="0" borderId="25" xfId="1" applyFont="1" applyBorder="1" applyAlignment="1">
      <alignment horizontal="center" vertical="center" wrapText="1"/>
    </xf>
    <xf numFmtId="9" fontId="5" fillId="0" borderId="27" xfId="1" applyFont="1" applyBorder="1" applyAlignment="1">
      <alignment horizontal="center" vertical="center" wrapText="1"/>
    </xf>
    <xf numFmtId="9" fontId="5" fillId="0" borderId="28" xfId="1" applyFont="1" applyBorder="1" applyAlignment="1">
      <alignment horizontal="center" vertical="center" wrapText="1"/>
    </xf>
    <xf numFmtId="9" fontId="5" fillId="0" borderId="29" xfId="1" applyFont="1" applyBorder="1" applyAlignment="1">
      <alignment horizontal="center" vertical="center" wrapText="1"/>
    </xf>
    <xf numFmtId="9" fontId="5" fillId="0" borderId="30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9" fontId="3" fillId="12" borderId="5" xfId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6" fillId="6" borderId="14" xfId="0" applyFont="1" applyFill="1" applyBorder="1" applyAlignment="1">
      <alignment horizontal="center" vertical="center" wrapText="1"/>
    </xf>
    <xf numFmtId="2" fontId="5" fillId="6" borderId="2" xfId="0" applyNumberFormat="1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7" fontId="5" fillId="0" borderId="5" xfId="5" applyNumberFormat="1" applyFont="1" applyFill="1" applyBorder="1" applyAlignment="1">
      <alignment horizontal="center" vertical="center" wrapText="1"/>
    </xf>
    <xf numFmtId="167" fontId="3" fillId="0" borderId="17" xfId="5" applyNumberFormat="1" applyFont="1" applyBorder="1" applyAlignment="1">
      <alignment horizontal="center" vertical="center" wrapText="1"/>
    </xf>
    <xf numFmtId="167" fontId="3" fillId="0" borderId="5" xfId="5" applyNumberFormat="1" applyFont="1" applyBorder="1" applyAlignment="1">
      <alignment horizontal="center" vertical="center" wrapText="1"/>
    </xf>
    <xf numFmtId="167" fontId="3" fillId="0" borderId="19" xfId="5" applyNumberFormat="1" applyFont="1" applyBorder="1" applyAlignment="1">
      <alignment vertical="center" wrapText="1"/>
    </xf>
    <xf numFmtId="167" fontId="3" fillId="0" borderId="3" xfId="5" applyNumberFormat="1" applyFont="1" applyBorder="1" applyAlignment="1">
      <alignment horizontal="center" vertical="center" wrapText="1"/>
    </xf>
    <xf numFmtId="167" fontId="3" fillId="0" borderId="1" xfId="5" applyNumberFormat="1" applyFont="1" applyBorder="1" applyAlignment="1">
      <alignment horizontal="center" vertical="center" wrapText="1"/>
    </xf>
    <xf numFmtId="43" fontId="3" fillId="0" borderId="5" xfId="5" applyFont="1" applyBorder="1" applyAlignment="1">
      <alignment horizontal="center" vertical="center" wrapText="1"/>
    </xf>
    <xf numFmtId="9" fontId="3" fillId="0" borderId="16" xfId="1" applyFont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left" vertical="center"/>
    </xf>
    <xf numFmtId="10" fontId="3" fillId="0" borderId="3" xfId="1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10" fontId="3" fillId="0" borderId="5" xfId="1" applyNumberFormat="1" applyFont="1" applyBorder="1" applyAlignment="1">
      <alignment horizontal="center" vertical="center" wrapText="1"/>
    </xf>
    <xf numFmtId="168" fontId="3" fillId="0" borderId="3" xfId="6" applyNumberFormat="1" applyFont="1" applyBorder="1" applyAlignment="1">
      <alignment horizontal="center" vertical="center" wrapText="1"/>
    </xf>
    <xf numFmtId="168" fontId="3" fillId="0" borderId="1" xfId="6" applyNumberFormat="1" applyFont="1" applyBorder="1" applyAlignment="1">
      <alignment horizontal="center" vertical="center" wrapText="1"/>
    </xf>
    <xf numFmtId="168" fontId="3" fillId="0" borderId="5" xfId="6" applyNumberFormat="1" applyFont="1" applyBorder="1" applyAlignment="1">
      <alignment horizontal="center" vertical="center" wrapText="1"/>
    </xf>
    <xf numFmtId="168" fontId="3" fillId="0" borderId="17" xfId="6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0" fontId="5" fillId="0" borderId="17" xfId="1" applyNumberFormat="1" applyFont="1" applyFill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44" fontId="5" fillId="0" borderId="17" xfId="6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justify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9" fontId="5" fillId="0" borderId="32" xfId="1" applyFont="1" applyBorder="1" applyAlignment="1">
      <alignment horizontal="center" vertical="center" wrapText="1"/>
    </xf>
    <xf numFmtId="0" fontId="3" fillId="13" borderId="0" xfId="0" applyFont="1" applyFill="1"/>
    <xf numFmtId="0" fontId="5" fillId="0" borderId="9" xfId="0" applyFont="1" applyFill="1" applyBorder="1" applyAlignment="1">
      <alignment horizontal="left" vertical="center" wrapText="1"/>
    </xf>
    <xf numFmtId="0" fontId="3" fillId="14" borderId="0" xfId="0" applyFont="1" applyFill="1"/>
    <xf numFmtId="169" fontId="5" fillId="0" borderId="1" xfId="7" applyNumberFormat="1" applyFont="1" applyFill="1" applyBorder="1" applyAlignment="1">
      <alignment horizontal="center" vertical="center" wrapText="1"/>
    </xf>
    <xf numFmtId="164" fontId="3" fillId="0" borderId="1" xfId="7" applyFont="1" applyBorder="1" applyAlignment="1">
      <alignment horizontal="center" vertical="center" wrapText="1"/>
    </xf>
    <xf numFmtId="169" fontId="3" fillId="0" borderId="1" xfId="7" applyNumberFormat="1" applyFont="1" applyBorder="1" applyAlignment="1">
      <alignment horizontal="center" vertical="center" wrapText="1"/>
    </xf>
    <xf numFmtId="170" fontId="3" fillId="0" borderId="1" xfId="5" applyNumberFormat="1" applyFont="1" applyBorder="1" applyAlignment="1">
      <alignment horizontal="center" vertical="center" wrapText="1"/>
    </xf>
    <xf numFmtId="164" fontId="3" fillId="0" borderId="5" xfId="7" applyFont="1" applyBorder="1" applyAlignment="1">
      <alignment horizontal="center" vertical="center" wrapText="1"/>
    </xf>
    <xf numFmtId="169" fontId="3" fillId="0" borderId="6" xfId="7" applyNumberFormat="1" applyFont="1" applyBorder="1" applyAlignment="1">
      <alignment horizontal="center" vertical="center" wrapText="1"/>
    </xf>
    <xf numFmtId="0" fontId="3" fillId="0" borderId="0" xfId="0" applyFont="1" applyFill="1"/>
    <xf numFmtId="9" fontId="3" fillId="13" borderId="1" xfId="1" applyFont="1" applyFill="1" applyBorder="1" applyAlignment="1">
      <alignment horizontal="center" vertical="center" wrapText="1"/>
    </xf>
    <xf numFmtId="171" fontId="3" fillId="0" borderId="17" xfId="7" applyNumberFormat="1" applyFont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left" vertical="center" wrapText="1"/>
    </xf>
    <xf numFmtId="9" fontId="4" fillId="2" borderId="6" xfId="0" applyNumberFormat="1" applyFont="1" applyFill="1" applyBorder="1" applyAlignment="1">
      <alignment horizontal="left" vertical="center" wrapText="1"/>
    </xf>
    <xf numFmtId="9" fontId="4" fillId="2" borderId="3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left" vertical="center" wrapText="1"/>
    </xf>
    <xf numFmtId="0" fontId="6" fillId="11" borderId="6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3" fontId="4" fillId="7" borderId="21" xfId="0" applyNumberFormat="1" applyFont="1" applyFill="1" applyBorder="1" applyAlignment="1">
      <alignment horizontal="center" vertical="center" wrapText="1"/>
    </xf>
    <xf numFmtId="3" fontId="4" fillId="7" borderId="6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7" fillId="0" borderId="14" xfId="5" applyFont="1" applyBorder="1" applyAlignment="1">
      <alignment horizontal="center" vertical="center" wrapText="1"/>
    </xf>
    <xf numFmtId="43" fontId="7" fillId="0" borderId="7" xfId="5" applyFont="1" applyBorder="1" applyAlignment="1">
      <alignment horizontal="center" vertical="center" wrapText="1"/>
    </xf>
    <xf numFmtId="43" fontId="7" fillId="0" borderId="11" xfId="5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8">
    <cellStyle name="Millares" xfId="5" builtinId="3"/>
    <cellStyle name="Millares [0]" xfId="7" builtinId="6"/>
    <cellStyle name="Moneda" xfId="6" builtinId="4"/>
    <cellStyle name="Moneda 2" xfId="4"/>
    <cellStyle name="Normal" xfId="0" builtinId="0"/>
    <cellStyle name="Normal 2" xfId="2"/>
    <cellStyle name="Normal 3" xfId="3"/>
    <cellStyle name="Porcentual" xfId="1" builtinId="5"/>
  </cellStyles>
  <dxfs count="43"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643F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/>
        <color theme="1"/>
      </font>
      <fill>
        <patternFill>
          <bgColor rgb="FFFF3B3B"/>
        </patternFill>
      </fill>
    </dxf>
    <dxf>
      <font>
        <b/>
        <i val="0"/>
        <color theme="1"/>
      </font>
      <fill>
        <patternFill>
          <bgColor rgb="FF99FF33"/>
        </patternFill>
      </fill>
    </dxf>
    <dxf>
      <font>
        <b/>
        <i val="0"/>
        <color theme="1"/>
      </font>
      <fill>
        <patternFill>
          <bgColor rgb="FFFFFF3B"/>
        </patternFill>
      </fill>
    </dxf>
    <dxf>
      <font>
        <b/>
        <i val="0"/>
        <color theme="1"/>
      </font>
      <fill>
        <patternFill>
          <bgColor rgb="FFFF5353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2F2F"/>
        </patternFill>
      </fill>
    </dxf>
    <dxf>
      <fill>
        <patternFill>
          <bgColor rgb="FFFFFF2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33"/>
        </patternFill>
      </fill>
    </dxf>
    <dxf>
      <fill>
        <patternFill>
          <bgColor rgb="FFFFFF29"/>
        </patternFill>
      </fill>
    </dxf>
    <dxf>
      <fill>
        <patternFill>
          <bgColor rgb="FFFF11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66FF33"/>
      <color rgb="FFFF6969"/>
      <color rgb="FFFF5757"/>
      <color rgb="FFFF4B4B"/>
      <color rgb="FFFF5353"/>
      <color rgb="FFFF0000"/>
      <color rgb="FFFFFF00"/>
      <color rgb="FF6600CC"/>
      <color rgb="FFFFFF66"/>
      <color rgb="FFE3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38100</xdr:rowOff>
    </xdr:from>
    <xdr:to>
      <xdr:col>0</xdr:col>
      <xdr:colOff>2641600</xdr:colOff>
      <xdr:row>0</xdr:row>
      <xdr:rowOff>800100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100" y="38100"/>
          <a:ext cx="2476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165101</xdr:colOff>
      <xdr:row>0</xdr:row>
      <xdr:rowOff>38100</xdr:rowOff>
    </xdr:from>
    <xdr:to>
      <xdr:col>2</xdr:col>
      <xdr:colOff>1788584</xdr:colOff>
      <xdr:row>0</xdr:row>
      <xdr:rowOff>825500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165101" y="38100"/>
          <a:ext cx="5952066" cy="787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221346</xdr:colOff>
      <xdr:row>0</xdr:row>
      <xdr:rowOff>38101</xdr:rowOff>
    </xdr:from>
    <xdr:to>
      <xdr:col>2</xdr:col>
      <xdr:colOff>1257300</xdr:colOff>
      <xdr:row>0</xdr:row>
      <xdr:rowOff>825501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346" y="38101"/>
          <a:ext cx="2826654" cy="787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653142</xdr:colOff>
      <xdr:row>0</xdr:row>
      <xdr:rowOff>38101</xdr:rowOff>
    </xdr:from>
    <xdr:to>
      <xdr:col>3</xdr:col>
      <xdr:colOff>757768</xdr:colOff>
      <xdr:row>0</xdr:row>
      <xdr:rowOff>825501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653142" y="38101"/>
          <a:ext cx="5520269" cy="787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/OneDrive/Escritorio/ilv/AUDITORIAS%20INTERNAS%20GESTI&#211;N%20ESTRAT&#201;GICA%20Y%20RECURSOS%20FINANCIEROS%202021/GESTION%20DE%20RECURSOS%20FINANCIEROS/ANEXOS%202021/Fichas%20indicadores%20Financieros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es%20Control%20Calidad%20%20a%20junio-2021%20O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es%20sistema%20de%20informacion%20a%20junio-2021%20O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es%20COMPRAS%20Junio2021%20O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%20aplicacion%20tablas%20de%20retencion%20documental%20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%20satisfaccion%20clientes%20servicio%20ventanilla%20unica%20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es%20Control%20integral%202021%20a%20Abril%2030%20O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MATRIZ%20INDICADORES%20ILV%202DO%20TRIMEST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alarcon/Desktop/PLAN%20ESTRATEGICO/Users/asorozco/AppData/Local/Temp/Objetivos%20e%20indicad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TRIZ%20INDICADORES%20ILV%20VIGENCIA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es%20PTER%20a%20Junio%202021%20O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LANEACION\1000.27.15%20INDICADORES\INDICADORES%20A%20DICIEMBRE%202021\7.Gesti&#243;n%20Logistica\PTER\INDICADORES%202021%20A%20DICEMBRE%20P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%20almacen%20general%20Preservacion%20y%20Despacho%20a%20junio%20%20O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es%20Producci&#243;n%20a%20Junio%202021%20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%20Juridico%20a%20junio-2021%20O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00.27%20INFORMES\1000.27.15%20INFORMES%20DE%20GESTION%20DE%20INDICADORES\INDICADORES\INDICADORES%20%202021\INDOCADORES%202DO%20TRIMESTRE%202021\Indicadores%20mantto%20a%20Junio%202021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ntabilidad"/>
      <sheetName val="Endeudamiento"/>
      <sheetName val="Transferencias"/>
      <sheetName val="Liquidez"/>
      <sheetName val="informacion"/>
      <sheetName val="Hoja1"/>
    </sheetNames>
    <sheetDataSet>
      <sheetData sheetId="0">
        <row r="10">
          <cell r="D10">
            <v>-0.8345974212409133</v>
          </cell>
        </row>
        <row r="11">
          <cell r="D11">
            <v>0.12011649509445055</v>
          </cell>
        </row>
      </sheetData>
      <sheetData sheetId="1">
        <row r="12">
          <cell r="B12">
            <v>1.2863504865632067</v>
          </cell>
        </row>
        <row r="15">
          <cell r="D15">
            <v>1.3546110295318967</v>
          </cell>
        </row>
      </sheetData>
      <sheetData sheetId="2">
        <row r="12">
          <cell r="D12">
            <v>12351938000</v>
          </cell>
        </row>
        <row r="15">
          <cell r="D15">
            <v>30115753000</v>
          </cell>
        </row>
        <row r="17">
          <cell r="C17">
            <v>59335992037</v>
          </cell>
        </row>
      </sheetData>
      <sheetData sheetId="3">
        <row r="12">
          <cell r="B12">
            <v>2.1219925735379577</v>
          </cell>
        </row>
        <row r="15">
          <cell r="D15">
            <v>1.6012028908625011</v>
          </cell>
        </row>
      </sheetData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alidad pdto envasado"/>
      <sheetName val="Calidad MP"/>
      <sheetName val="Eficacia NC"/>
      <sheetName val="Eficacia analisis"/>
    </sheetNames>
    <sheetDataSet>
      <sheetData sheetId="0" refreshError="1"/>
      <sheetData sheetId="1">
        <row r="12">
          <cell r="B12">
            <v>0.94117647058823528</v>
          </cell>
        </row>
        <row r="15">
          <cell r="B15">
            <v>0.90909090909090906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rvicio Sistemas"/>
      <sheetName val="Satisfaccion"/>
      <sheetName val="Hoja1"/>
    </sheetNames>
    <sheetDataSet>
      <sheetData sheetId="0">
        <row r="15">
          <cell r="C15">
            <v>1</v>
          </cell>
        </row>
      </sheetData>
      <sheetData sheetId="1">
        <row r="12">
          <cell r="C12">
            <v>1</v>
          </cell>
        </row>
      </sheetData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ONF PROV"/>
      <sheetName val="IND CALIDAD"/>
      <sheetName val="DEV ordenes"/>
      <sheetName val="Hoja1"/>
    </sheetNames>
    <sheetDataSet>
      <sheetData sheetId="0">
        <row r="15">
          <cell r="B15">
            <v>0.82</v>
          </cell>
        </row>
      </sheetData>
      <sheetData sheetId="1">
        <row r="15">
          <cell r="B15">
            <v>1</v>
          </cell>
        </row>
      </sheetData>
      <sheetData sheetId="2">
        <row r="15">
          <cell r="B15">
            <v>0.95</v>
          </cell>
        </row>
      </sheetData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DO"/>
      <sheetName val="INDICADOR"/>
    </sheetNames>
    <sheetDataSet>
      <sheetData sheetId="0" refreshError="1"/>
      <sheetData sheetId="1">
        <row r="28">
          <cell r="B28">
            <v>0.91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VENTANILLA UNICA SATIS."/>
    </sheetNames>
    <sheetDataSet>
      <sheetData sheetId="0">
        <row r="21">
          <cell r="B21">
            <v>0.78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lan anual"/>
      <sheetName val="Auditorias adicionales"/>
      <sheetName val="Cierre auditorias"/>
    </sheetNames>
    <sheetDataSet>
      <sheetData sheetId="0">
        <row r="13">
          <cell r="B13">
            <v>0.83</v>
          </cell>
        </row>
      </sheetData>
      <sheetData sheetId="1">
        <row r="13">
          <cell r="B13">
            <v>1</v>
          </cell>
        </row>
      </sheetData>
      <sheetData sheetId="2">
        <row r="13">
          <cell r="B13">
            <v>0.04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estion de recursos financieros"/>
      <sheetName val="Gestion comercial y de mercadeo"/>
      <sheetName val="Gestion logistica (PT)"/>
      <sheetName val="G. comunic publi y documental"/>
      <sheetName val="Gestion de produccion"/>
      <sheetName val="Gestion Juridica"/>
      <sheetName val="Gestion sistema integrado"/>
      <sheetName val="Gestion Mant y control de Equip"/>
      <sheetName val="Gestion Talento Humano"/>
      <sheetName val="Gestion Calidad Producto"/>
      <sheetName val="Gestion Tecnologica"/>
      <sheetName val="Gestion de Adquis y Sumin"/>
      <sheetName val="Gestion control interno"/>
      <sheetName val="G. Infraestructura Fisica"/>
      <sheetName val="G. Sistema Ambiental"/>
      <sheetName val="Gestion SSST"/>
      <sheetName val="BSC II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B5" t="str">
            <v xml:space="preserve">Proporción de accidentes de trabajo mortales </v>
          </cell>
          <cell r="C5" t="str">
            <v>(# de accidentes de trabajo mortales que se presentaron en el año/ Total de accidentes de trabajo que se presentaron en el año)*100</v>
          </cell>
          <cell r="H5">
            <v>0</v>
          </cell>
        </row>
        <row r="6">
          <cell r="B6" t="str">
            <v>Prevalencia de la enfermedad laboral</v>
          </cell>
          <cell r="C6" t="str">
            <v>(#  de casos nuevos y antiguos de enfermedad laboral en el periodo "Z" / Promedio de trabajadores en el periodo "Z")*100</v>
          </cell>
        </row>
        <row r="7">
          <cell r="B7" t="str">
            <v>Incidencia de la enfermedad laboral</v>
          </cell>
          <cell r="C7" t="str">
            <v>(# de casos nuevos de enfermedad laboral en el periodo "Z"/  Promedio de trabajadores en el periodo "Z")*100</v>
          </cell>
        </row>
        <row r="8">
          <cell r="B8" t="str">
            <v xml:space="preserve">Ausentismo por causa médica </v>
          </cell>
          <cell r="C8" t="str">
            <v>(# de días de ausencia por incapacidad laboral o común en el mes / # de días de trabajo programados en el mes )*100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8">
          <cell r="C8" t="str">
            <v>Crecimiento de ventas Valle</v>
          </cell>
        </row>
        <row r="13">
          <cell r="C13" t="str">
            <v>Cumplimiento presupuestal Ventas Valle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stion de recursos financieros"/>
      <sheetName val="Gestion comercial y de mercadeo"/>
      <sheetName val="Gestion logistica (PT)"/>
      <sheetName val="G. comunic publi y documental"/>
      <sheetName val="Gestion de produccion"/>
      <sheetName val="Gestion Juridica"/>
      <sheetName val="Gestion sistema integrado"/>
      <sheetName val="Gestion Mant y control de Equip"/>
      <sheetName val="Gestion Talento Humano"/>
      <sheetName val="Gestion Calidad Producto"/>
      <sheetName val="Gestion Tecnologica"/>
      <sheetName val="Gestion de Adquis y Sumin"/>
      <sheetName val="Gestion control interno"/>
      <sheetName val="G. Infraestructura Fisica"/>
      <sheetName val="G. Sistema Ambiental"/>
      <sheetName val="Gestion SSST"/>
      <sheetName val="Hoja1"/>
    </sheetNames>
    <sheetDataSet>
      <sheetData sheetId="0"/>
      <sheetData sheetId="1">
        <row r="3">
          <cell r="Q3">
            <v>1.2395</v>
          </cell>
          <cell r="T3">
            <v>0.71638899999999994</v>
          </cell>
        </row>
      </sheetData>
      <sheetData sheetId="2">
        <row r="7">
          <cell r="T7">
            <v>0.86</v>
          </cell>
        </row>
      </sheetData>
      <sheetData sheetId="3">
        <row r="4">
          <cell r="S4">
            <v>0.96</v>
          </cell>
        </row>
      </sheetData>
      <sheetData sheetId="4">
        <row r="4">
          <cell r="P4">
            <v>2862.9268506650133</v>
          </cell>
          <cell r="S4">
            <v>3280.4883703423525</v>
          </cell>
        </row>
        <row r="5">
          <cell r="J5">
            <v>1.060863157894737</v>
          </cell>
          <cell r="M5">
            <v>1</v>
          </cell>
        </row>
      </sheetData>
      <sheetData sheetId="5"/>
      <sheetData sheetId="6"/>
      <sheetData sheetId="7"/>
      <sheetData sheetId="8">
        <row r="3">
          <cell r="G3">
            <v>0.9</v>
          </cell>
          <cell r="S3">
            <v>0.87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NDICIONES PRESERVACION LICOR"/>
      <sheetName val="Desperdicio Licor"/>
      <sheetName val="Nivel Cummp despacho PT"/>
    </sheetNames>
    <sheetDataSet>
      <sheetData sheetId="0">
        <row r="12">
          <cell r="B12">
            <v>1.9999999999999999E-7</v>
          </cell>
        </row>
        <row r="15">
          <cell r="B15">
            <v>1.088243487950968E-6</v>
          </cell>
        </row>
      </sheetData>
      <sheetData sheetId="1">
        <row r="12">
          <cell r="B12">
            <v>8.9999999999999996E-7</v>
          </cell>
        </row>
        <row r="15">
          <cell r="B15">
            <v>6.6006351043335952E-3</v>
          </cell>
        </row>
      </sheetData>
      <sheetData sheetId="2">
        <row r="12">
          <cell r="B12">
            <v>0.96</v>
          </cell>
        </row>
        <row r="15">
          <cell r="B15">
            <v>0.96610169491525422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DICIONES PRESERVACION LICOR"/>
      <sheetName val="Desperdicio Licor"/>
      <sheetName val="Nivel Cummp despacho PT"/>
    </sheetNames>
    <sheetDataSet>
      <sheetData sheetId="0">
        <row r="18">
          <cell r="D18">
            <v>1.2635236308200555E-5</v>
          </cell>
        </row>
        <row r="23">
          <cell r="D23">
            <v>1.2491266040811841E-6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reserv Alm Gral"/>
      <sheetName val="Hoja1"/>
    </sheetNames>
    <sheetDataSet>
      <sheetData sheetId="0">
        <row r="12">
          <cell r="B12">
            <v>1.0724763891803343E-2</v>
          </cell>
        </row>
        <row r="15">
          <cell r="B15">
            <v>1.185094944691883E-2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nd.  2016 CONSOLIDADO"/>
      <sheetName val="Rend.  2021"/>
      <sheetName val="% desperdicio"/>
      <sheetName val="Cump Pgr"/>
      <sheetName val="costo Pn"/>
      <sheetName val="DATOS COSTOS DE PRODUCCION"/>
      <sheetName val="Hoja1"/>
    </sheetNames>
    <sheetDataSet>
      <sheetData sheetId="0" refreshError="1"/>
      <sheetData sheetId="1" refreshError="1"/>
      <sheetData sheetId="2">
        <row r="12">
          <cell r="B12">
            <v>2.5891967726406895E-3</v>
          </cell>
        </row>
        <row r="15">
          <cell r="B15">
            <v>2.3464019376434608E-3</v>
          </cell>
        </row>
      </sheetData>
      <sheetData sheetId="3" refreshError="1"/>
      <sheetData sheetId="4">
        <row r="12">
          <cell r="B12">
            <v>3333.1363251349926</v>
          </cell>
          <cell r="C12">
            <v>3619.2930936159751</v>
          </cell>
        </row>
        <row r="15">
          <cell r="B15">
            <v>2946.8541091154962</v>
          </cell>
          <cell r="C15">
            <v>3250.3238733217049</v>
          </cell>
        </row>
      </sheetData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ntratacion"/>
      <sheetName val="procesos judiciales"/>
      <sheetName val="Derechos Pet"/>
    </sheetNames>
    <sheetDataSet>
      <sheetData sheetId="0">
        <row r="12">
          <cell r="C12">
            <v>1</v>
          </cell>
        </row>
        <row r="15">
          <cell r="C15">
            <v>1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sto energia"/>
      <sheetName val="costo mtto licores"/>
      <sheetName val="CUMP. plan calibracion"/>
      <sheetName val="CUMP. plan mantenimiento"/>
    </sheetNames>
    <sheetDataSet>
      <sheetData sheetId="0">
        <row r="12">
          <cell r="B12">
            <v>45.699362402977179</v>
          </cell>
        </row>
        <row r="15">
          <cell r="B15">
            <v>33.259193848204866</v>
          </cell>
        </row>
      </sheetData>
      <sheetData sheetId="1">
        <row r="12">
          <cell r="B12">
            <v>6.5173137153169804E-3</v>
          </cell>
        </row>
        <row r="15">
          <cell r="B15">
            <v>27.59503659901204</v>
          </cell>
        </row>
      </sheetData>
      <sheetData sheetId="2">
        <row r="12">
          <cell r="D12">
            <v>0.69230769230769229</v>
          </cell>
        </row>
      </sheetData>
      <sheetData sheetId="3">
        <row r="15">
          <cell r="B15">
            <v>0.125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32"/>
  <sheetViews>
    <sheetView tabSelected="1" workbookViewId="0">
      <pane xSplit="1" ySplit="7" topLeftCell="O20" activePane="bottomRight" state="frozen"/>
      <selection pane="topRight" activeCell="B1" sqref="B1"/>
      <selection pane="bottomLeft" activeCell="A8" sqref="A8"/>
      <selection pane="bottomRight" activeCell="Y20" sqref="Y20"/>
    </sheetView>
  </sheetViews>
  <sheetFormatPr baseColWidth="10" defaultColWidth="11.42578125" defaultRowHeight="14.25"/>
  <cols>
    <col min="1" max="1" width="44.28515625" style="24" customWidth="1"/>
    <col min="2" max="2" width="17.7109375" style="24" customWidth="1"/>
    <col min="3" max="3" width="30.7109375" style="24" customWidth="1"/>
    <col min="4" max="4" width="24.28515625" style="24" customWidth="1"/>
    <col min="5" max="5" width="25.42578125" style="24" customWidth="1"/>
    <col min="6" max="6" width="12.7109375" style="24" customWidth="1"/>
    <col min="7" max="7" width="13.7109375" style="24" customWidth="1"/>
    <col min="8" max="8" width="9.85546875" style="24" customWidth="1"/>
    <col min="9" max="11" width="8.7109375" style="24" customWidth="1"/>
    <col min="12" max="12" width="9" style="24" customWidth="1"/>
    <col min="13" max="13" width="8.42578125" style="24" customWidth="1"/>
    <col min="14" max="15" width="8.7109375" style="24" customWidth="1"/>
    <col min="16" max="16" width="9" style="24" customWidth="1"/>
    <col min="17" max="19" width="8.7109375" style="24" customWidth="1"/>
    <col min="20" max="20" width="12.5703125" style="24" customWidth="1"/>
    <col min="21" max="21" width="15.5703125" style="24" customWidth="1"/>
    <col min="22" max="22" width="12" style="24" customWidth="1"/>
    <col min="23" max="23" width="11.5703125" style="24" customWidth="1"/>
    <col min="24" max="24" width="10.140625" style="24" customWidth="1"/>
    <col min="25" max="25" width="8.7109375" style="24" customWidth="1"/>
    <col min="26" max="26" width="12" style="24" customWidth="1"/>
    <col min="27" max="16384" width="11.42578125" style="24"/>
  </cols>
  <sheetData>
    <row r="1" spans="1:26" ht="70.150000000000006" customHeight="1">
      <c r="A1" s="91"/>
      <c r="B1" s="163" t="s">
        <v>207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5"/>
    </row>
    <row r="2" spans="1:26" ht="18">
      <c r="A2" s="66"/>
      <c r="B2" s="30"/>
      <c r="C2" s="30"/>
      <c r="D2" s="30"/>
      <c r="E2" s="30"/>
      <c r="F2" s="30"/>
      <c r="G2" s="30"/>
      <c r="H2" s="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  <c r="V2" s="2"/>
      <c r="W2" s="2"/>
      <c r="X2" s="2"/>
      <c r="Y2" s="2"/>
      <c r="Z2" s="2"/>
    </row>
    <row r="3" spans="1:26" ht="15">
      <c r="A3" s="166" t="s">
        <v>26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</row>
    <row r="4" spans="1:26" ht="22.9" customHeight="1">
      <c r="A4" s="72"/>
      <c r="B4" s="168"/>
      <c r="C4" s="169"/>
      <c r="D4" s="169"/>
      <c r="E4" s="169"/>
      <c r="F4" s="169"/>
      <c r="G4" s="169"/>
      <c r="H4" s="169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</row>
    <row r="5" spans="1:26" ht="19.5" customHeight="1">
      <c r="A5" s="157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9"/>
    </row>
    <row r="6" spans="1:26" ht="15" customHeight="1">
      <c r="A6" s="152" t="s">
        <v>15</v>
      </c>
      <c r="B6" s="152" t="s">
        <v>4</v>
      </c>
      <c r="C6" s="146" t="s">
        <v>0</v>
      </c>
      <c r="D6" s="146" t="s">
        <v>30</v>
      </c>
      <c r="E6" s="152" t="s">
        <v>40</v>
      </c>
      <c r="F6" s="152" t="s">
        <v>5</v>
      </c>
      <c r="G6" s="152" t="s">
        <v>6</v>
      </c>
      <c r="H6" s="154" t="s">
        <v>202</v>
      </c>
      <c r="I6" s="155" t="s">
        <v>7</v>
      </c>
      <c r="J6" s="152"/>
      <c r="K6" s="152"/>
      <c r="L6" s="156"/>
      <c r="M6" s="153" t="s">
        <v>8</v>
      </c>
      <c r="N6" s="152"/>
      <c r="O6" s="152"/>
      <c r="P6" s="154"/>
      <c r="Q6" s="148" t="s">
        <v>9</v>
      </c>
      <c r="R6" s="149"/>
      <c r="S6" s="149"/>
      <c r="T6" s="150"/>
      <c r="U6" s="153" t="s">
        <v>10</v>
      </c>
      <c r="V6" s="18" t="s">
        <v>11</v>
      </c>
      <c r="W6" s="160" t="s">
        <v>12</v>
      </c>
      <c r="X6" s="161"/>
      <c r="Y6" s="161"/>
      <c r="Z6" s="162"/>
    </row>
    <row r="7" spans="1:26" ht="31.9" customHeight="1">
      <c r="A7" s="153"/>
      <c r="B7" s="153"/>
      <c r="C7" s="147"/>
      <c r="D7" s="147"/>
      <c r="E7" s="153"/>
      <c r="F7" s="152"/>
      <c r="G7" s="152"/>
      <c r="H7" s="154"/>
      <c r="I7" s="62">
        <v>1</v>
      </c>
      <c r="J7" s="60">
        <v>2</v>
      </c>
      <c r="K7" s="60">
        <v>3</v>
      </c>
      <c r="L7" s="63">
        <v>4</v>
      </c>
      <c r="M7" s="59">
        <v>1</v>
      </c>
      <c r="N7" s="60">
        <v>2</v>
      </c>
      <c r="O7" s="60">
        <v>3</v>
      </c>
      <c r="P7" s="61">
        <v>4</v>
      </c>
      <c r="Q7" s="62">
        <v>1</v>
      </c>
      <c r="R7" s="60">
        <v>2</v>
      </c>
      <c r="S7" s="60">
        <v>3</v>
      </c>
      <c r="T7" s="63">
        <v>4</v>
      </c>
      <c r="U7" s="153"/>
      <c r="V7" s="61">
        <v>4</v>
      </c>
      <c r="W7" s="62">
        <v>1</v>
      </c>
      <c r="X7" s="60">
        <v>2</v>
      </c>
      <c r="Y7" s="60">
        <v>3</v>
      </c>
      <c r="Z7" s="63">
        <v>4</v>
      </c>
    </row>
    <row r="8" spans="1:26" ht="42.75">
      <c r="A8" s="89" t="s">
        <v>27</v>
      </c>
      <c r="B8" s="26" t="s">
        <v>28</v>
      </c>
      <c r="C8" s="26" t="s">
        <v>103</v>
      </c>
      <c r="D8" s="28" t="s">
        <v>29</v>
      </c>
      <c r="E8" s="102" t="s">
        <v>100</v>
      </c>
      <c r="F8" s="26" t="s">
        <v>101</v>
      </c>
      <c r="G8" s="26" t="s">
        <v>102</v>
      </c>
      <c r="H8" s="13">
        <v>0.2</v>
      </c>
      <c r="I8" s="3">
        <v>0.2</v>
      </c>
      <c r="J8" s="3">
        <v>0.2</v>
      </c>
      <c r="K8" s="3">
        <v>0.2</v>
      </c>
      <c r="L8" s="3">
        <v>0.2</v>
      </c>
      <c r="M8" s="32">
        <f>+[1]Rentabilidad!$D$10</f>
        <v>-0.8345974212409133</v>
      </c>
      <c r="N8" s="32">
        <f>+[1]Rentabilidad!$D$11</f>
        <v>0.12011649509445055</v>
      </c>
      <c r="O8" s="32">
        <v>0.12</v>
      </c>
      <c r="P8" s="17">
        <v>0.12</v>
      </c>
      <c r="Q8" s="86">
        <f>IF(IF($U8="Maxim.",M8/I8,IF($U8="Minim.",I8/M8,))&gt;=110%,110%,IF(IF($U8="Maxim.",M8/I8,IF($U8="Minim.",I8/M8,))&lt;=0%,0%,IF($U8="Maxim.",M8/I8,IF($U8="Minim.",I8/M8,))))</f>
        <v>0</v>
      </c>
      <c r="R8" s="86">
        <f t="shared" ref="R8:S8" si="0">IF(IF($U8="Maxim.",N8/J8,IF($U8="Minim.",J8/N8,))&gt;=110%,110%,IF(IF($U8="Maxim.",N8/J8,IF($U8="Minim.",J8/N8,))&lt;=0%,0%,IF($U8="Maxim.",N8/J8,IF($U8="Minim.",J8/N8,))))</f>
        <v>0.60058247547225274</v>
      </c>
      <c r="S8" s="86">
        <f t="shared" si="0"/>
        <v>0.6</v>
      </c>
      <c r="T8" s="130">
        <f>IF(IF($U8="Maxim.",P8/L8,IF($U8="Minim.",L8/P8,))&gt;=110%,110%,IF(IF($U8="Maxim.",P8/L8,IF($U8="Minim.",L8/P8,))&lt;=0%,0%,IF($U8="Maxim.",P8/L8,IF($U8="Minim.",L8/P8,))))</f>
        <v>0.6</v>
      </c>
      <c r="U8" s="31" t="s">
        <v>1</v>
      </c>
      <c r="V8" s="17">
        <v>0.05</v>
      </c>
      <c r="W8" s="37">
        <f>+V8*Q8</f>
        <v>0</v>
      </c>
      <c r="X8" s="32">
        <f>+V8*R8</f>
        <v>3.0029123773612637E-2</v>
      </c>
      <c r="Y8" s="32">
        <f>+V8*S8</f>
        <v>0.03</v>
      </c>
      <c r="Z8" s="38">
        <f>+V8*T8</f>
        <v>0.03</v>
      </c>
    </row>
    <row r="9" spans="1:26" ht="61.5" customHeight="1">
      <c r="A9" s="89" t="s">
        <v>200</v>
      </c>
      <c r="B9" s="26" t="s">
        <v>36</v>
      </c>
      <c r="C9" s="26" t="s">
        <v>104</v>
      </c>
      <c r="D9" s="28" t="s">
        <v>29</v>
      </c>
      <c r="E9" s="102" t="s">
        <v>100</v>
      </c>
      <c r="F9" s="55" t="s">
        <v>191</v>
      </c>
      <c r="G9" s="55" t="s">
        <v>106</v>
      </c>
      <c r="H9" s="103">
        <f>+[1]Transferencias!$C$17/1000000</f>
        <v>59335.992037000004</v>
      </c>
      <c r="I9" s="108">
        <f>(H9/12)*3</f>
        <v>14833.998009250001</v>
      </c>
      <c r="J9" s="108">
        <f>I9*2</f>
        <v>29667.996018500002</v>
      </c>
      <c r="K9" s="108">
        <f>+J9+I9</f>
        <v>44501.994027749999</v>
      </c>
      <c r="L9" s="108">
        <f>+H9</f>
        <v>59335.992037000004</v>
      </c>
      <c r="M9" s="108">
        <f>+[1]Transferencias!$D$12/1000000</f>
        <v>12351.938</v>
      </c>
      <c r="N9" s="108">
        <f>+[1]Transferencias!$D$15/1000000</f>
        <v>30115.753000000001</v>
      </c>
      <c r="O9" s="108">
        <v>50650</v>
      </c>
      <c r="P9" s="105">
        <v>91571</v>
      </c>
      <c r="Q9" s="86">
        <f t="shared" ref="Q9:S9" si="1">IF(IF($U9="Maxim.",M9/I9,IF($U9="Minim.",I9/M9,))&gt;=110%,110%,IF(IF($U9="Maxim.",M9/I9,IF($U9="Minim.",I9/M9,))&lt;=0%,0%,IF($U9="Maxim.",M9/I9,IF($U9="Minim.",I9/M9,))))</f>
        <v>0.83267760938741742</v>
      </c>
      <c r="R9" s="86">
        <f t="shared" si="1"/>
        <v>1.0150922556825472</v>
      </c>
      <c r="S9" s="86">
        <f t="shared" si="1"/>
        <v>1.1000000000000001</v>
      </c>
      <c r="T9" s="130">
        <f>IF(IF($U9="Maxim.",P9/L9,IF($U9="Minim.",L9/P9,))&gt;=110%,110%,IF(IF($U9="Maxim.",P9/L9,IF($U9="Minim.",L9/P9,))&lt;=0%,0%,IF($U9="Maxim.",P9/L9,IF($U9="Minim.",L9/P9,))))</f>
        <v>1.1000000000000001</v>
      </c>
      <c r="U9" s="31" t="s">
        <v>1</v>
      </c>
      <c r="V9" s="17">
        <v>0.25</v>
      </c>
      <c r="W9" s="37">
        <f>+V9*Q9</f>
        <v>0.20816940234685435</v>
      </c>
      <c r="X9" s="32">
        <f>+V9*R9</f>
        <v>0.25377306392063681</v>
      </c>
      <c r="Y9" s="32">
        <v>0.25</v>
      </c>
      <c r="Z9" s="38">
        <v>0.25</v>
      </c>
    </row>
    <row r="10" spans="1:26" ht="15">
      <c r="A10" s="151" t="s">
        <v>18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40"/>
      <c r="V10" s="41">
        <f>SUM(V8:V9)</f>
        <v>0.3</v>
      </c>
      <c r="W10" s="42">
        <f>SUM(W8:W9)</f>
        <v>0.20816940234685435</v>
      </c>
      <c r="X10" s="43">
        <f>SUM(X8:X9)</f>
        <v>0.28380218769424947</v>
      </c>
      <c r="Y10" s="43">
        <f>SUM(Y8:Y9)</f>
        <v>0.28000000000000003</v>
      </c>
      <c r="Z10" s="44">
        <f>SUM(Z8:Z9)</f>
        <v>0.28000000000000003</v>
      </c>
    </row>
    <row r="11" spans="1:26" ht="17.25" customHeight="1">
      <c r="A11" s="151" t="s">
        <v>19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40"/>
      <c r="V11" s="41"/>
      <c r="W11" s="42">
        <f>+W10/$V$10</f>
        <v>0.69389800782284783</v>
      </c>
      <c r="X11" s="43">
        <f t="shared" ref="X11:Y11" si="2">+X10/$V$10</f>
        <v>0.94600729231416492</v>
      </c>
      <c r="Y11" s="43">
        <f t="shared" si="2"/>
        <v>0.93333333333333346</v>
      </c>
      <c r="Z11" s="44">
        <f>+Z10/$V$10</f>
        <v>0.93333333333333346</v>
      </c>
    </row>
    <row r="12" spans="1:26" ht="15">
      <c r="A12" s="157" t="s">
        <v>42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9"/>
    </row>
    <row r="13" spans="1:26" ht="51" customHeight="1">
      <c r="A13" s="132" t="s">
        <v>201</v>
      </c>
      <c r="B13" s="55" t="str">
        <f>[2]Hoja1!$C$13</f>
        <v>Cumplimiento presupuestal Ventas Valle</v>
      </c>
      <c r="C13" s="57" t="s">
        <v>192</v>
      </c>
      <c r="D13" s="90" t="s">
        <v>37</v>
      </c>
      <c r="E13" s="96" t="s">
        <v>114</v>
      </c>
      <c r="F13" s="26" t="s">
        <v>190</v>
      </c>
      <c r="G13" s="31" t="s">
        <v>106</v>
      </c>
      <c r="H13" s="134">
        <v>5.3</v>
      </c>
      <c r="I13" s="136">
        <f>H13/12*3</f>
        <v>1.325</v>
      </c>
      <c r="J13" s="137">
        <f>I13*2</f>
        <v>2.65</v>
      </c>
      <c r="K13" s="137">
        <f>J13+I13</f>
        <v>3.9749999999999996</v>
      </c>
      <c r="L13" s="136">
        <f>K13*I13</f>
        <v>5.2668749999999998</v>
      </c>
      <c r="M13" s="139">
        <v>1.2</v>
      </c>
      <c r="N13" s="138">
        <v>3.1</v>
      </c>
      <c r="O13" s="109">
        <v>5</v>
      </c>
      <c r="P13" s="109">
        <v>8.3740000000000006</v>
      </c>
      <c r="Q13" s="86">
        <f t="shared" ref="Q13:Q15" si="3">IF(IF($U13="Maxim.",M13/I13,IF($U13="Minim.",I13/M13,))&gt;=110%,110%,IF(IF($U13="Maxim.",M13/I13,IF($U13="Minim.",I13/M13,))&lt;=0%,0%,IF($U13="Maxim.",M13/I13,IF($U13="Minim.",I13/M13,))))</f>
        <v>0.90566037735849059</v>
      </c>
      <c r="R13" s="86">
        <f t="shared" ref="R13:R15" si="4">IF(IF($U13="Maxim.",N13/J13,IF($U13="Minim.",J13/N13,))&gt;=110%,110%,IF(IF($U13="Maxim.",N13/J13,IF($U13="Minim.",J13/N13,))&lt;=0%,0%,IF($U13="Maxim.",N13/J13,IF($U13="Minim.",J13/N13,))))</f>
        <v>1.1000000000000001</v>
      </c>
      <c r="S13" s="86">
        <f t="shared" ref="S13:S15" si="5">IF(IF($U13="Maxim.",O13/K13,IF($U13="Minim.",K13/O13,))&gt;=110%,110%,IF(IF($U13="Maxim.",O13/K13,IF($U13="Minim.",K13/O13,))&lt;=0%,0%,IF($U13="Maxim.",O13/K13,IF($U13="Minim.",K13/O13,))))</f>
        <v>1.1000000000000001</v>
      </c>
      <c r="T13" s="86">
        <f t="shared" ref="T13:T16" si="6">IF(IF($U13="Maxim.",P13/L13,IF($U13="Minim.",L13/P13,))&gt;=110%,110%,IF(IF($U13="Maxim.",P13/L13,IF($U13="Minim.",L13/P13,))&lt;=0%,0%,IF($U13="Maxim.",P13/L13,IF($U13="Minim.",L13/P13,))))</f>
        <v>1.1000000000000001</v>
      </c>
      <c r="U13" s="36" t="s">
        <v>1</v>
      </c>
      <c r="V13" s="45">
        <v>0.1</v>
      </c>
      <c r="W13" s="37">
        <f>+V13*Q13</f>
        <v>9.0566037735849064E-2</v>
      </c>
      <c r="X13" s="32">
        <v>0.1</v>
      </c>
      <c r="Y13" s="32">
        <v>0.1</v>
      </c>
      <c r="Z13" s="38">
        <v>0.1</v>
      </c>
    </row>
    <row r="14" spans="1:26" ht="51" customHeight="1">
      <c r="A14" s="132" t="s">
        <v>38</v>
      </c>
      <c r="B14" s="55" t="s">
        <v>39</v>
      </c>
      <c r="C14" s="88" t="s">
        <v>118</v>
      </c>
      <c r="D14" s="90" t="s">
        <v>37</v>
      </c>
      <c r="E14" s="96" t="s">
        <v>114</v>
      </c>
      <c r="F14" s="26" t="s">
        <v>101</v>
      </c>
      <c r="G14" s="31" t="s">
        <v>106</v>
      </c>
      <c r="H14" s="128">
        <v>0.95</v>
      </c>
      <c r="I14" s="32">
        <v>0.95</v>
      </c>
      <c r="J14" s="32">
        <v>0.95</v>
      </c>
      <c r="K14" s="32">
        <v>0.95</v>
      </c>
      <c r="L14" s="32">
        <v>0.95</v>
      </c>
      <c r="M14" s="129">
        <v>0.875</v>
      </c>
      <c r="N14" s="17">
        <v>0.875</v>
      </c>
      <c r="O14" s="17">
        <v>0.86</v>
      </c>
      <c r="P14" s="17">
        <v>0.86</v>
      </c>
      <c r="Q14" s="85">
        <f t="shared" si="3"/>
        <v>0.92105263157894746</v>
      </c>
      <c r="R14" s="85">
        <f t="shared" si="4"/>
        <v>0.92105263157894746</v>
      </c>
      <c r="S14" s="85">
        <f t="shared" si="5"/>
        <v>0.90526315789473688</v>
      </c>
      <c r="T14" s="85">
        <f t="shared" si="6"/>
        <v>0.90526315789473688</v>
      </c>
      <c r="U14" s="36" t="s">
        <v>1</v>
      </c>
      <c r="V14" s="45">
        <v>0.08</v>
      </c>
      <c r="W14" s="37">
        <f>+V14*Q14</f>
        <v>7.3684210526315796E-2</v>
      </c>
      <c r="X14" s="32">
        <f>+V14*R14</f>
        <v>7.3684210526315796E-2</v>
      </c>
      <c r="Y14" s="32">
        <f>+V14*S14</f>
        <v>7.2421052631578955E-2</v>
      </c>
      <c r="Z14" s="38">
        <f>+V14*T14</f>
        <v>7.2421052631578955E-2</v>
      </c>
    </row>
    <row r="15" spans="1:26" ht="66.75" customHeight="1">
      <c r="A15" s="92" t="s">
        <v>44</v>
      </c>
      <c r="B15" s="55" t="s">
        <v>120</v>
      </c>
      <c r="C15" s="88" t="s">
        <v>118</v>
      </c>
      <c r="D15" s="90" t="s">
        <v>37</v>
      </c>
      <c r="E15" s="96" t="s">
        <v>114</v>
      </c>
      <c r="F15" s="26" t="s">
        <v>101</v>
      </c>
      <c r="G15" s="31" t="s">
        <v>106</v>
      </c>
      <c r="H15" s="128">
        <v>0.95</v>
      </c>
      <c r="I15" s="32">
        <v>0.95</v>
      </c>
      <c r="J15" s="32">
        <v>0.95</v>
      </c>
      <c r="K15" s="32">
        <v>0.95</v>
      </c>
      <c r="L15" s="32">
        <v>0.95</v>
      </c>
      <c r="M15" s="129">
        <v>0.875</v>
      </c>
      <c r="N15" s="17">
        <v>0.875</v>
      </c>
      <c r="O15" s="17">
        <v>0.86</v>
      </c>
      <c r="P15" s="17">
        <v>0.86</v>
      </c>
      <c r="Q15" s="86">
        <f t="shared" si="3"/>
        <v>0.92105263157894746</v>
      </c>
      <c r="R15" s="86">
        <f t="shared" si="4"/>
        <v>0.92105263157894746</v>
      </c>
      <c r="S15" s="86">
        <f t="shared" si="5"/>
        <v>0.90526315789473688</v>
      </c>
      <c r="T15" s="86">
        <f t="shared" si="6"/>
        <v>0.90526315789473688</v>
      </c>
      <c r="U15" s="36" t="s">
        <v>1</v>
      </c>
      <c r="V15" s="45">
        <v>0.06</v>
      </c>
      <c r="W15" s="37">
        <f>+V15*Q15</f>
        <v>5.5263157894736847E-2</v>
      </c>
      <c r="X15" s="32">
        <f>+V15*R15</f>
        <v>5.5263157894736847E-2</v>
      </c>
      <c r="Y15" s="32">
        <f>+V15*S15</f>
        <v>5.4315789473684213E-2</v>
      </c>
      <c r="Z15" s="38">
        <f>+V15*T15</f>
        <v>5.4315789473684213E-2</v>
      </c>
    </row>
    <row r="16" spans="1:26" ht="73.5" customHeight="1">
      <c r="A16" s="97" t="s">
        <v>45</v>
      </c>
      <c r="B16" s="55" t="s">
        <v>46</v>
      </c>
      <c r="C16" s="126" t="s">
        <v>193</v>
      </c>
      <c r="D16" s="90" t="s">
        <v>119</v>
      </c>
      <c r="E16" s="102" t="s">
        <v>138</v>
      </c>
      <c r="F16" s="55" t="s">
        <v>101</v>
      </c>
      <c r="G16" s="31" t="s">
        <v>109</v>
      </c>
      <c r="H16" s="128">
        <v>1</v>
      </c>
      <c r="I16" s="3">
        <v>1</v>
      </c>
      <c r="J16" s="32">
        <v>1</v>
      </c>
      <c r="K16" s="32">
        <v>1</v>
      </c>
      <c r="L16" s="32">
        <v>1</v>
      </c>
      <c r="M16" s="14">
        <v>1</v>
      </c>
      <c r="N16" s="3">
        <v>1</v>
      </c>
      <c r="O16" s="32">
        <v>1</v>
      </c>
      <c r="P16" s="17">
        <v>1</v>
      </c>
      <c r="Q16" s="84">
        <f t="shared" ref="Q16" si="7">IF(IF($U16="Maxim.",M16/I16,IF($U16="Minim.",I16/M16,))&gt;=110%,110%,IF(IF($U16="Maxim.",M16/I16,IF($U16="Minim.",I16/M16,))&lt;0%,0%,IF($U16="Maxim.",M16/I16,IF($U16="Minim.",I16/M16,))))</f>
        <v>1</v>
      </c>
      <c r="R16" s="85">
        <f t="shared" ref="R16" si="8">IF(IF($U16="Maxim.",N16/J16,IF($U16="Minim.",J16/N16,))&gt;=110%,110%,IF(IF($U16="Maxim.",N16/J16,IF($U16="Minim.",J16/N16,))&lt;0%,0%,IF($U16="Maxim.",N16/J16,IF($U16="Minim.",J16/N16,))))</f>
        <v>1</v>
      </c>
      <c r="S16" s="85">
        <f t="shared" ref="S16" si="9">IF(IF($U16="Maxim.",O16/K16,IF($U16="Minim.",K16/O16,))&gt;=110%,110%,IF(IF($U16="Maxim.",O16/K16,IF($U16="Minim.",K16/O16,))&lt;=0%,0%,IF($U16="Maxim.",O16/K16,IF($U16="Minim.",K16/O16,))))</f>
        <v>1</v>
      </c>
      <c r="T16" s="86">
        <f t="shared" si="6"/>
        <v>1</v>
      </c>
      <c r="U16" s="36" t="s">
        <v>1</v>
      </c>
      <c r="V16" s="45">
        <v>0.06</v>
      </c>
      <c r="W16" s="37">
        <f t="shared" ref="W16" si="10">+V16*Q16</f>
        <v>0.06</v>
      </c>
      <c r="X16" s="32">
        <f t="shared" ref="X16" si="11">+V16*R16</f>
        <v>0.06</v>
      </c>
      <c r="Y16" s="32">
        <f t="shared" ref="Y16" si="12">+V16*S16</f>
        <v>0.06</v>
      </c>
      <c r="Z16" s="38">
        <f t="shared" ref="Z16" si="13">+V16*T16</f>
        <v>0.06</v>
      </c>
    </row>
    <row r="17" spans="1:27" ht="15">
      <c r="A17" s="143" t="s">
        <v>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5"/>
      <c r="U17" s="40"/>
      <c r="V17" s="41">
        <f>SUM(V13:V16)</f>
        <v>0.3</v>
      </c>
      <c r="W17" s="42">
        <f>SUM(W13:W16)</f>
        <v>0.27951340615690168</v>
      </c>
      <c r="X17" s="43">
        <f>SUM(X13:X16)</f>
        <v>0.28894736842105262</v>
      </c>
      <c r="Y17" s="43">
        <f>SUM(Y13:Y16)</f>
        <v>0.28673684210526318</v>
      </c>
      <c r="Z17" s="44">
        <f>SUM(Z13:Z16)</f>
        <v>0.28673684210526318</v>
      </c>
    </row>
    <row r="18" spans="1:27" ht="15">
      <c r="A18" s="143" t="s">
        <v>21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5"/>
      <c r="U18" s="40"/>
      <c r="V18" s="41"/>
      <c r="W18" s="42">
        <f>+W17/$V$17</f>
        <v>0.93171135385633896</v>
      </c>
      <c r="X18" s="43">
        <f t="shared" ref="X18:Y18" si="14">+X17/$V$17</f>
        <v>0.9631578947368421</v>
      </c>
      <c r="Y18" s="43">
        <f t="shared" si="14"/>
        <v>0.95578947368421063</v>
      </c>
      <c r="Z18" s="44">
        <f>+Z17/$V$17</f>
        <v>0.95578947368421063</v>
      </c>
    </row>
    <row r="19" spans="1:27" ht="25.5" customHeight="1">
      <c r="A19" s="157" t="s">
        <v>47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9"/>
    </row>
    <row r="20" spans="1:27" ht="81" customHeight="1">
      <c r="A20" s="122" t="s">
        <v>189</v>
      </c>
      <c r="B20" s="26" t="s">
        <v>48</v>
      </c>
      <c r="C20" s="127" t="s">
        <v>196</v>
      </c>
      <c r="D20" s="102" t="s">
        <v>49</v>
      </c>
      <c r="E20" s="102" t="s">
        <v>143</v>
      </c>
      <c r="F20" s="26" t="s">
        <v>101</v>
      </c>
      <c r="G20" s="31" t="s">
        <v>106</v>
      </c>
      <c r="H20" s="71">
        <v>0.9</v>
      </c>
      <c r="I20" s="46">
        <v>0.9</v>
      </c>
      <c r="J20" s="46">
        <v>0.9</v>
      </c>
      <c r="K20" s="46">
        <v>0.9</v>
      </c>
      <c r="L20" s="46">
        <v>0.9</v>
      </c>
      <c r="M20" s="45">
        <v>0.94</v>
      </c>
      <c r="N20" s="45">
        <f>+'BSC II'!X76</f>
        <v>0.85628600038870106</v>
      </c>
      <c r="O20" s="45">
        <f>+'BSC II'!Y76</f>
        <v>0.90545217128157029</v>
      </c>
      <c r="P20" s="45">
        <f>+'BSC II'!Z76</f>
        <v>0.9042747318037071</v>
      </c>
      <c r="Q20" s="86">
        <f t="shared" ref="Q20" si="15">IF(IF($U20="Maxim.",M20/I20,IF($U20="Minim.",I20/M20,))&gt;=110%,110%,IF(IF($U20="Maxim.",M20/I20,IF($U20="Minim.",I20/M20,))&lt;0%,0%,IF($U20="Maxim.",M20/I20,IF($U20="Minim.",I20/M20,))))</f>
        <v>1.0444444444444443</v>
      </c>
      <c r="R20" s="86">
        <f>IF(IF($U20="Maxim.",N20/J20,IF($U20="Minim.",J20/N20,))&gt;=110%,110%,IF(IF($U20="Maxim.",N20/J20,IF($U20="Minim.",J20/N20,))&lt;0%,0%,IF($U20="Maxim.",N20/J20,IF($U20="Minim.",J20/N20,))))</f>
        <v>0.95142888932077896</v>
      </c>
      <c r="S20" s="86">
        <f t="shared" ref="S20:T20" si="16">IF(IF($U20="Maxim.",O20/K20,IF($U20="Minim.",K20/O20,))&gt;=110%,110%,IF(IF($U20="Maxim.",O20/K20,IF($U20="Minim.",K20/O20,))&lt;=0%,0%,IF($U20="Maxim.",O20/K20,IF($U20="Minim.",K20/O20,))))</f>
        <v>1.0060579680906336</v>
      </c>
      <c r="T20" s="86">
        <f t="shared" si="16"/>
        <v>1.0047497020041189</v>
      </c>
      <c r="U20" s="36" t="s">
        <v>1</v>
      </c>
      <c r="V20" s="45">
        <v>0.2</v>
      </c>
      <c r="W20" s="37">
        <f t="shared" ref="W20:W24" si="17">+V20*Q20</f>
        <v>0.20888888888888887</v>
      </c>
      <c r="X20" s="32">
        <f t="shared" ref="X20:X24" si="18">+V20*R20</f>
        <v>0.19028577786415579</v>
      </c>
      <c r="Y20" s="32">
        <f t="shared" ref="Y20:Y24" si="19">+V20*S20</f>
        <v>0.20121159361812674</v>
      </c>
      <c r="Z20" s="38">
        <f t="shared" ref="Z20:Z24" si="20">+V20*T20</f>
        <v>0.20094994040082381</v>
      </c>
      <c r="AA20" s="131"/>
    </row>
    <row r="21" spans="1:27" ht="21" customHeight="1">
      <c r="A21" s="143" t="s">
        <v>22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5"/>
      <c r="U21" s="40"/>
      <c r="V21" s="41">
        <f>SUM(V19:V20)</f>
        <v>0.2</v>
      </c>
      <c r="W21" s="42">
        <f>SUM(W19:W20)</f>
        <v>0.20888888888888887</v>
      </c>
      <c r="X21" s="43">
        <f>SUM(X19:X20)</f>
        <v>0.19028577786415579</v>
      </c>
      <c r="Y21" s="43">
        <f>SUM(Y19:Y20)</f>
        <v>0.20121159361812674</v>
      </c>
      <c r="Z21" s="44">
        <f>SUM(Z19:Z20)</f>
        <v>0.20094994040082381</v>
      </c>
    </row>
    <row r="22" spans="1:27" ht="19.5" customHeight="1">
      <c r="A22" s="143" t="s">
        <v>23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5"/>
      <c r="U22" s="40"/>
      <c r="V22" s="41"/>
      <c r="W22" s="42">
        <f>+W21/$V$21</f>
        <v>1.0444444444444443</v>
      </c>
      <c r="X22" s="43">
        <f t="shared" ref="X22:Z22" si="21">+X21/$V$21</f>
        <v>0.95142888932077896</v>
      </c>
      <c r="Y22" s="43">
        <f t="shared" si="21"/>
        <v>1.0060579680906336</v>
      </c>
      <c r="Z22" s="44">
        <f t="shared" si="21"/>
        <v>1.0047497020041189</v>
      </c>
    </row>
    <row r="23" spans="1:27" ht="25.5" customHeight="1">
      <c r="A23" s="157" t="s">
        <v>58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9"/>
    </row>
    <row r="24" spans="1:27" ht="72" customHeight="1">
      <c r="A24" s="89" t="s">
        <v>50</v>
      </c>
      <c r="B24" s="55" t="s">
        <v>51</v>
      </c>
      <c r="C24" s="28" t="s">
        <v>167</v>
      </c>
      <c r="D24" s="102" t="s">
        <v>52</v>
      </c>
      <c r="E24" s="102" t="s">
        <v>143</v>
      </c>
      <c r="F24" s="31" t="s">
        <v>166</v>
      </c>
      <c r="G24" s="31" t="s">
        <v>106</v>
      </c>
      <c r="H24" s="38">
        <v>0.9</v>
      </c>
      <c r="I24" s="46">
        <v>0.9</v>
      </c>
      <c r="J24" s="46">
        <v>0.9</v>
      </c>
      <c r="K24" s="46">
        <v>0.9</v>
      </c>
      <c r="L24" s="46">
        <v>0.9</v>
      </c>
      <c r="M24" s="45">
        <v>0.85</v>
      </c>
      <c r="N24" s="45">
        <v>0.85</v>
      </c>
      <c r="O24" s="45">
        <v>0.90400000000000003</v>
      </c>
      <c r="P24" s="45">
        <v>0.90400000000000003</v>
      </c>
      <c r="Q24" s="86">
        <f t="shared" ref="Q24" si="22">IF(IF($U24="Maxim.",M24/I24,IF($U24="Minim.",I24/M24,))&gt;=110%,110%,IF(IF($U24="Maxim.",M24/I24,IF($U24="Minim.",I24/M24,))&lt;=0%,0%,IF($U24="Maxim.",M24/I24,IF($U24="Minim.",I24/M24,))))</f>
        <v>0.94444444444444442</v>
      </c>
      <c r="R24" s="86">
        <f t="shared" ref="R24" si="23">IF(IF($U24="Maxim.",N24/J24,IF($U24="Minim.",J24/N24,))&gt;=110%,110%,IF(IF($U24="Maxim.",N24/J24,IF($U24="Minim.",J24/N24,))&lt;=0%,0%,IF($U24="Maxim.",N24/J24,IF($U24="Minim.",J24/N24,))))</f>
        <v>0.94444444444444442</v>
      </c>
      <c r="S24" s="86">
        <f t="shared" ref="S24:T24" si="24">IF(IF($U24="Maxim.",O24/K24,IF($U24="Minim.",K24/O24,))&gt;=110%,110%,IF(IF($U24="Maxim.",O24/K24,IF($U24="Minim.",K24/O24,))&lt;=0%,0%,IF($U24="Maxim.",O24/K24,IF($U24="Minim.",K24/O24,))))</f>
        <v>1.0044444444444445</v>
      </c>
      <c r="T24" s="86">
        <f t="shared" si="24"/>
        <v>1.0044444444444445</v>
      </c>
      <c r="U24" s="36" t="s">
        <v>1</v>
      </c>
      <c r="V24" s="45">
        <v>0.2</v>
      </c>
      <c r="W24" s="37">
        <f t="shared" si="17"/>
        <v>0.18888888888888888</v>
      </c>
      <c r="X24" s="32">
        <f t="shared" si="18"/>
        <v>0.18888888888888888</v>
      </c>
      <c r="Y24" s="32">
        <f t="shared" si="19"/>
        <v>0.20088888888888889</v>
      </c>
      <c r="Z24" s="38">
        <f t="shared" si="20"/>
        <v>0.20088888888888889</v>
      </c>
      <c r="AA24" s="131"/>
    </row>
    <row r="25" spans="1:27" ht="15" customHeight="1">
      <c r="A25" s="144" t="s">
        <v>83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67"/>
      <c r="V25" s="68">
        <f>SUM(V23:V24)</f>
        <v>0.2</v>
      </c>
      <c r="W25" s="42">
        <f>SUM(W23:W24)</f>
        <v>0.18888888888888888</v>
      </c>
      <c r="X25" s="43">
        <f>SUM(X23:X24)</f>
        <v>0.18888888888888888</v>
      </c>
      <c r="Y25" s="43">
        <f>SUM(Y23:Y24)</f>
        <v>0.20088888888888889</v>
      </c>
      <c r="Z25" s="44">
        <f>SUM(Z23:Z24)</f>
        <v>0.20088888888888889</v>
      </c>
    </row>
    <row r="26" spans="1:27" ht="15" customHeight="1">
      <c r="A26" s="144" t="s">
        <v>59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69"/>
      <c r="V26" s="41"/>
      <c r="W26" s="42">
        <f>+W25/$V$25</f>
        <v>0.94444444444444442</v>
      </c>
      <c r="X26" s="43">
        <f t="shared" ref="X26:Y26" si="25">+X25/$V$25</f>
        <v>0.94444444444444442</v>
      </c>
      <c r="Y26" s="43">
        <f t="shared" si="25"/>
        <v>1.0044444444444445</v>
      </c>
      <c r="Z26" s="44">
        <f>+Z25/$V$25</f>
        <v>1.0044444444444445</v>
      </c>
    </row>
    <row r="27" spans="1:27" ht="18" customHeight="1">
      <c r="A27" s="4"/>
      <c r="B27" s="4"/>
      <c r="C27" s="4"/>
      <c r="D27" s="4"/>
      <c r="E27" s="173" t="s">
        <v>107</v>
      </c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4"/>
      <c r="V27" s="70">
        <f>+V25+V21+V17+V10</f>
        <v>1</v>
      </c>
      <c r="W27" s="70">
        <f>+W25+W21+W17+W10</f>
        <v>0.88546058628153379</v>
      </c>
      <c r="X27" s="70">
        <f>+X25+X21+X17+X10</f>
        <v>0.95192422286834677</v>
      </c>
      <c r="Y27" s="70">
        <f>+Y25+Y21+Y17+Y10</f>
        <v>0.96883732461227878</v>
      </c>
      <c r="Z27" s="70">
        <f>+Z25+Z21+Z17+Z10</f>
        <v>0.96857567139497591</v>
      </c>
    </row>
    <row r="28" spans="1:27" ht="30.75" customHeight="1">
      <c r="E28" s="58"/>
      <c r="F28" s="4"/>
      <c r="G28" s="4"/>
      <c r="H28" s="4"/>
      <c r="I28" s="4"/>
      <c r="J28" s="4"/>
      <c r="K28" s="4"/>
      <c r="L28" s="4"/>
      <c r="M28" s="4"/>
      <c r="N28" s="9"/>
      <c r="O28" s="9"/>
      <c r="P28" s="10"/>
      <c r="Q28" s="10"/>
      <c r="R28" s="10"/>
      <c r="S28" s="10"/>
      <c r="T28" s="10"/>
      <c r="U28" s="10"/>
      <c r="V28" s="11"/>
      <c r="W28" s="175"/>
      <c r="X28" s="176"/>
      <c r="Y28" s="176"/>
      <c r="Z28" s="176"/>
      <c r="AA28" s="12"/>
    </row>
    <row r="29" spans="1:27" ht="15" customHeight="1">
      <c r="A29" s="76"/>
      <c r="B29" s="171" t="s">
        <v>14</v>
      </c>
      <c r="C29" s="172"/>
      <c r="D29" s="87"/>
      <c r="E29" s="5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7" ht="15" customHeight="1">
      <c r="A30" s="6"/>
      <c r="B30" s="171" t="s">
        <v>16</v>
      </c>
      <c r="C30" s="172"/>
      <c r="D30" s="87"/>
      <c r="E30" s="5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7" ht="15" customHeight="1">
      <c r="A31" s="7"/>
      <c r="B31" s="74" t="s">
        <v>24</v>
      </c>
      <c r="C31" s="75"/>
      <c r="D31" s="87"/>
      <c r="E31" s="58"/>
    </row>
    <row r="32" spans="1:27" ht="13.9" customHeight="1">
      <c r="A32" s="78"/>
      <c r="B32" s="171" t="s">
        <v>13</v>
      </c>
      <c r="C32" s="172"/>
      <c r="D32" s="87"/>
    </row>
  </sheetData>
  <mergeCells count="35">
    <mergeCell ref="A21:T21"/>
    <mergeCell ref="A19:Z19"/>
    <mergeCell ref="B32:C32"/>
    <mergeCell ref="B29:C29"/>
    <mergeCell ref="E27:U27"/>
    <mergeCell ref="W28:Z28"/>
    <mergeCell ref="A22:T22"/>
    <mergeCell ref="A25:T25"/>
    <mergeCell ref="B30:C30"/>
    <mergeCell ref="A26:T26"/>
    <mergeCell ref="A23:Z23"/>
    <mergeCell ref="B1:Z1"/>
    <mergeCell ref="A3:N3"/>
    <mergeCell ref="O3:Z3"/>
    <mergeCell ref="B4:H4"/>
    <mergeCell ref="I4:Z4"/>
    <mergeCell ref="A5:Z5"/>
    <mergeCell ref="A12:Z12"/>
    <mergeCell ref="A6:A7"/>
    <mergeCell ref="B6:B7"/>
    <mergeCell ref="C6:C7"/>
    <mergeCell ref="F6:F7"/>
    <mergeCell ref="W6:Z6"/>
    <mergeCell ref="G6:G7"/>
    <mergeCell ref="U6:U7"/>
    <mergeCell ref="A18:T18"/>
    <mergeCell ref="D6:D7"/>
    <mergeCell ref="Q6:T6"/>
    <mergeCell ref="A10:T10"/>
    <mergeCell ref="A11:T11"/>
    <mergeCell ref="A17:T17"/>
    <mergeCell ref="E6:E7"/>
    <mergeCell ref="H6:H7"/>
    <mergeCell ref="I6:L6"/>
    <mergeCell ref="M6:P6"/>
  </mergeCells>
  <conditionalFormatting sqref="Q20:T20 Q24:T24 Q8:T9 Q13:T16">
    <cfRule type="cellIs" dxfId="42" priority="53" stopIfTrue="1" operator="lessThan">
      <formula>0.8</formula>
    </cfRule>
    <cfRule type="cellIs" dxfId="41" priority="54" operator="between">
      <formula>0.81</formula>
      <formula>0.94</formula>
    </cfRule>
    <cfRule type="cellIs" dxfId="40" priority="55" operator="between">
      <formula>0.95</formula>
      <formula>1</formula>
    </cfRule>
    <cfRule type="cellIs" dxfId="39" priority="56" operator="greaterThan">
      <formula>1</formula>
    </cfRule>
  </conditionalFormatting>
  <dataValidations count="1">
    <dataValidation type="list" allowBlank="1" showInputMessage="1" showErrorMessage="1" sqref="U24 U20 U13:U16 U8:U9">
      <formula1>$U$2:$U$2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A82"/>
  <sheetViews>
    <sheetView zoomScale="110" zoomScaleNormal="110" workbookViewId="0">
      <pane xSplit="3" ySplit="8" topLeftCell="T75" activePane="bottomRight" state="frozen"/>
      <selection pane="topRight" activeCell="D1" sqref="D1"/>
      <selection pane="bottomLeft" activeCell="A9" sqref="A9"/>
      <selection pane="bottomRight" activeCell="Z76" sqref="Z76"/>
    </sheetView>
  </sheetViews>
  <sheetFormatPr baseColWidth="10" defaultColWidth="11.42578125" defaultRowHeight="14.25"/>
  <cols>
    <col min="1" max="1" width="11.42578125" style="24"/>
    <col min="2" max="2" width="31.42578125" style="24" customWidth="1"/>
    <col min="3" max="3" width="34.7109375" style="24" customWidth="1"/>
    <col min="4" max="4" width="52.140625" style="24" customWidth="1"/>
    <col min="5" max="5" width="23.85546875" style="24" customWidth="1"/>
    <col min="6" max="6" width="11.42578125" style="24" customWidth="1"/>
    <col min="7" max="7" width="13.7109375" style="24" customWidth="1"/>
    <col min="8" max="8" width="15.140625" style="24" customWidth="1"/>
    <col min="9" max="9" width="12" style="24" customWidth="1"/>
    <col min="10" max="10" width="13.140625" style="24" customWidth="1"/>
    <col min="11" max="11" width="12" style="24" customWidth="1"/>
    <col min="12" max="12" width="12.140625" style="24" customWidth="1"/>
    <col min="13" max="13" width="11.28515625" style="24" customWidth="1"/>
    <col min="14" max="14" width="12" style="24" customWidth="1"/>
    <col min="15" max="15" width="11.5703125" style="24" customWidth="1"/>
    <col min="16" max="16" width="12" style="24" customWidth="1"/>
    <col min="17" max="17" width="10" style="24" customWidth="1"/>
    <col min="18" max="18" width="16.5703125" style="24" customWidth="1"/>
    <col min="19" max="19" width="10" style="24" customWidth="1"/>
    <col min="20" max="20" width="8.7109375" style="24" customWidth="1"/>
    <col min="21" max="21" width="12.140625" style="24" customWidth="1"/>
    <col min="22" max="22" width="12" style="24" customWidth="1"/>
    <col min="23" max="26" width="8.7109375" style="24" customWidth="1"/>
    <col min="27" max="16384" width="11.42578125" style="24"/>
  </cols>
  <sheetData>
    <row r="1" spans="1:27" ht="70.150000000000006" customHeight="1">
      <c r="B1" s="179"/>
      <c r="C1" s="180"/>
      <c r="D1" s="181" t="s">
        <v>208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3"/>
    </row>
    <row r="2" spans="1:27" ht="21" customHeight="1">
      <c r="B2" s="19"/>
      <c r="C2" s="30"/>
      <c r="D2" s="30"/>
      <c r="E2" s="30"/>
      <c r="F2" s="30"/>
      <c r="G2" s="30"/>
      <c r="H2" s="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  <c r="V2" s="2"/>
      <c r="W2" s="2"/>
      <c r="X2" s="2"/>
      <c r="Y2" s="2"/>
      <c r="Z2" s="20"/>
    </row>
    <row r="3" spans="1:27" ht="19.5" customHeight="1">
      <c r="B3" s="19"/>
      <c r="C3" s="30"/>
      <c r="D3" s="30"/>
      <c r="E3" s="30"/>
      <c r="F3" s="30"/>
      <c r="G3" s="30"/>
      <c r="H3" s="3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/>
      <c r="V3" s="2"/>
      <c r="W3" s="2"/>
      <c r="X3" s="2"/>
      <c r="Y3" s="2"/>
      <c r="Z3" s="20"/>
    </row>
    <row r="4" spans="1:27" ht="18" customHeight="1">
      <c r="B4" s="19"/>
      <c r="C4" s="30"/>
      <c r="D4" s="30"/>
      <c r="E4" s="30"/>
      <c r="F4" s="30"/>
      <c r="G4" s="30"/>
      <c r="H4" s="3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8"/>
      <c r="V4" s="2"/>
      <c r="W4" s="2"/>
      <c r="X4" s="2"/>
      <c r="Y4" s="2"/>
      <c r="Z4" s="20"/>
    </row>
    <row r="5" spans="1:27" ht="15">
      <c r="B5" s="184" t="s">
        <v>31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7"/>
    </row>
    <row r="6" spans="1:27" ht="15">
      <c r="B6" s="188" t="s">
        <v>25</v>
      </c>
      <c r="C6" s="189"/>
      <c r="D6" s="190" t="s">
        <v>3</v>
      </c>
      <c r="E6" s="190"/>
      <c r="F6" s="190"/>
      <c r="G6" s="190"/>
      <c r="H6" s="191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3"/>
    </row>
    <row r="7" spans="1:27" ht="16.5" customHeight="1">
      <c r="B7" s="152" t="s">
        <v>32</v>
      </c>
      <c r="C7" s="152" t="s">
        <v>4</v>
      </c>
      <c r="D7" s="152" t="s">
        <v>0</v>
      </c>
      <c r="E7" s="146" t="s">
        <v>17</v>
      </c>
      <c r="F7" s="152" t="s">
        <v>5</v>
      </c>
      <c r="G7" s="152" t="s">
        <v>6</v>
      </c>
      <c r="H7" s="177" t="s">
        <v>111</v>
      </c>
      <c r="I7" s="153" t="s">
        <v>7</v>
      </c>
      <c r="J7" s="152"/>
      <c r="K7" s="152"/>
      <c r="L7" s="156"/>
      <c r="M7" s="153" t="s">
        <v>8</v>
      </c>
      <c r="N7" s="152"/>
      <c r="O7" s="152"/>
      <c r="P7" s="154"/>
      <c r="Q7" s="51"/>
      <c r="R7" s="152" t="s">
        <v>9</v>
      </c>
      <c r="S7" s="152"/>
      <c r="T7" s="156"/>
      <c r="U7" s="153" t="s">
        <v>10</v>
      </c>
      <c r="V7" s="18" t="s">
        <v>11</v>
      </c>
      <c r="W7" s="160" t="s">
        <v>12</v>
      </c>
      <c r="X7" s="161"/>
      <c r="Y7" s="161"/>
      <c r="Z7" s="162"/>
    </row>
    <row r="8" spans="1:27" ht="30" customHeight="1">
      <c r="B8" s="153"/>
      <c r="C8" s="152"/>
      <c r="D8" s="152"/>
      <c r="E8" s="147"/>
      <c r="F8" s="152"/>
      <c r="G8" s="152"/>
      <c r="H8" s="177"/>
      <c r="I8" s="59">
        <v>1</v>
      </c>
      <c r="J8" s="49">
        <v>2</v>
      </c>
      <c r="K8" s="49">
        <v>3</v>
      </c>
      <c r="L8" s="52">
        <v>4</v>
      </c>
      <c r="M8" s="53">
        <v>1</v>
      </c>
      <c r="N8" s="49">
        <v>2</v>
      </c>
      <c r="O8" s="49">
        <v>3</v>
      </c>
      <c r="P8" s="50">
        <v>4</v>
      </c>
      <c r="Q8" s="51">
        <v>1</v>
      </c>
      <c r="R8" s="49">
        <v>2</v>
      </c>
      <c r="S8" s="49">
        <v>3</v>
      </c>
      <c r="T8" s="52">
        <v>4</v>
      </c>
      <c r="U8" s="153"/>
      <c r="V8" s="50">
        <v>4</v>
      </c>
      <c r="W8" s="51">
        <v>1</v>
      </c>
      <c r="X8" s="49">
        <v>2</v>
      </c>
      <c r="Y8" s="49">
        <v>3</v>
      </c>
      <c r="Z8" s="52">
        <v>4</v>
      </c>
    </row>
    <row r="9" spans="1:27" ht="30">
      <c r="A9" s="131"/>
      <c r="B9" s="21" t="s">
        <v>29</v>
      </c>
      <c r="C9" s="29" t="s">
        <v>33</v>
      </c>
      <c r="D9" s="29" t="s">
        <v>108</v>
      </c>
      <c r="E9" s="26" t="s">
        <v>100</v>
      </c>
      <c r="F9" s="31" t="s">
        <v>101</v>
      </c>
      <c r="G9" s="27" t="s">
        <v>109</v>
      </c>
      <c r="H9" s="64">
        <v>0.8</v>
      </c>
      <c r="I9" s="15">
        <v>0.8</v>
      </c>
      <c r="J9" s="46">
        <v>0.8</v>
      </c>
      <c r="K9" s="46">
        <v>0.8</v>
      </c>
      <c r="L9" s="46">
        <v>0.8</v>
      </c>
      <c r="M9" s="46">
        <f>+[1]Endeudamiento!$B$12</f>
        <v>1.2863504865632067</v>
      </c>
      <c r="N9" s="46">
        <f>+[1]Endeudamiento!$D$15</f>
        <v>1.3546110295318967</v>
      </c>
      <c r="O9" s="46">
        <v>1.18</v>
      </c>
      <c r="P9" s="45">
        <v>1.18</v>
      </c>
      <c r="Q9" s="81">
        <f t="shared" ref="Q9:R10" si="0">IF(IF($U9="Maxim.",M9/I9,IF($U9="Minim.",I9/M9,))&gt;=110%,110%,IF(IF($U9="Maxim.",M9/I9,IF($U9="Minim.",I9/M9,))&lt;0%,0%,IF($U9="Maxim.",M9/I9,IF($U9="Minim.",I9/M9,))))</f>
        <v>0.62191448470423605</v>
      </c>
      <c r="R9" s="83">
        <f t="shared" si="0"/>
        <v>0.59057543646049471</v>
      </c>
      <c r="S9" s="83">
        <f t="shared" ref="S9" si="1">IF(IF($U9="Maxim.",O9/K9,IF($U9="Minim.",K9/O9,))&gt;=110%,110%,IF(IF($U9="Maxim.",O9/K9,IF($U9="Minim.",K9/O9,))&lt;0%,0%,IF($U9="Maxim.",O9/K9,IF($U9="Minim.",K9/O9,))))</f>
        <v>0.67796610169491534</v>
      </c>
      <c r="T9" s="83">
        <f t="shared" ref="T9" si="2">IF(IF($U9="Maxim.",P9/L9,IF($U9="Minim.",L9/P9,))&gt;=110%,110%,IF(IF($U9="Maxim.",P9/L9,IF($U9="Minim.",L9/P9,))&lt;0%,0%,IF($U9="Maxim.",P9/L9,IF($U9="Minim.",L9/P9,))))</f>
        <v>0.67796610169491534</v>
      </c>
      <c r="U9" s="36" t="s">
        <v>2</v>
      </c>
      <c r="V9" s="17">
        <v>0.03</v>
      </c>
      <c r="W9" s="37">
        <f>+V9*Q9</f>
        <v>1.8657434541127081E-2</v>
      </c>
      <c r="X9" s="37">
        <f>+R9*V9</f>
        <v>1.7717263093814842E-2</v>
      </c>
      <c r="Y9" s="37">
        <f>+S9*V9</f>
        <v>2.033898305084746E-2</v>
      </c>
      <c r="Z9" s="37">
        <f>T9*V9</f>
        <v>2.033898305084746E-2</v>
      </c>
      <c r="AA9" s="133"/>
    </row>
    <row r="10" spans="1:27" ht="30">
      <c r="A10" s="131"/>
      <c r="B10" s="21" t="s">
        <v>29</v>
      </c>
      <c r="C10" s="55" t="s">
        <v>34</v>
      </c>
      <c r="D10" s="29" t="s">
        <v>110</v>
      </c>
      <c r="E10" s="56" t="s">
        <v>100</v>
      </c>
      <c r="F10" s="31" t="s">
        <v>105</v>
      </c>
      <c r="G10" s="27" t="s">
        <v>109</v>
      </c>
      <c r="H10" s="106">
        <v>1</v>
      </c>
      <c r="I10" s="107">
        <v>1</v>
      </c>
      <c r="J10" s="108">
        <v>1</v>
      </c>
      <c r="K10" s="108">
        <v>1</v>
      </c>
      <c r="L10" s="108">
        <v>1</v>
      </c>
      <c r="M10" s="108">
        <f>+[1]Liquidez!$B$12</f>
        <v>2.1219925735379577</v>
      </c>
      <c r="N10" s="108">
        <f>+[1]Liquidez!$D$15</f>
        <v>1.6012028908625011</v>
      </c>
      <c r="O10" s="108">
        <v>1.41</v>
      </c>
      <c r="P10" s="105">
        <v>1.41</v>
      </c>
      <c r="Q10" s="81">
        <f t="shared" si="0"/>
        <v>1.1000000000000001</v>
      </c>
      <c r="R10" s="83">
        <f t="shared" si="0"/>
        <v>1.1000000000000001</v>
      </c>
      <c r="S10" s="83">
        <f t="shared" ref="S10" si="3">IF(IF($U10="Maxim.",O10/K10,IF($U10="Minim.",K10/O10,))&gt;=110%,110%,IF(IF($U10="Maxim.",O10/K10,IF($U10="Minim.",K10/O10,))&lt;0%,0%,IF($U10="Maxim.",O10/K10,IF($U10="Minim.",K10/O10,))))</f>
        <v>1.1000000000000001</v>
      </c>
      <c r="T10" s="83">
        <f t="shared" ref="T10" si="4">IF(IF($U10="Maxim.",P10/L10,IF($U10="Minim.",L10/P10,))&gt;=110%,110%,IF(IF($U10="Maxim.",P10/L10,IF($U10="Minim.",L10/P10,))&lt;0%,0%,IF($U10="Maxim.",P10/L10,IF($U10="Minim.",L10/P10,))))</f>
        <v>1.1000000000000001</v>
      </c>
      <c r="U10" s="36" t="s">
        <v>1</v>
      </c>
      <c r="V10" s="17">
        <v>0.03</v>
      </c>
      <c r="W10" s="37">
        <f>+V10*Q10</f>
        <v>3.3000000000000002E-2</v>
      </c>
      <c r="X10" s="37">
        <f>+R10*V10</f>
        <v>3.3000000000000002E-2</v>
      </c>
      <c r="Y10" s="37">
        <f>+S10*V10</f>
        <v>3.3000000000000002E-2</v>
      </c>
      <c r="Z10" s="37">
        <f>T10*V10</f>
        <v>3.3000000000000002E-2</v>
      </c>
      <c r="AA10" s="133"/>
    </row>
    <row r="11" spans="1:27" ht="15">
      <c r="A11" s="140">
        <v>1</v>
      </c>
      <c r="B11" s="143" t="s">
        <v>35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5"/>
      <c r="U11" s="40"/>
      <c r="V11" s="41">
        <f>SUM(V9:V10)</f>
        <v>0.06</v>
      </c>
      <c r="W11" s="42">
        <f>SUM(W9:W10)</f>
        <v>5.1657434541127083E-2</v>
      </c>
      <c r="X11" s="42">
        <f>SUM(X9:X10)</f>
        <v>5.0717263093814843E-2</v>
      </c>
      <c r="Y11" s="42">
        <f>SUM(Y9:Y10)</f>
        <v>5.3338983050847458E-2</v>
      </c>
      <c r="Z11" s="42">
        <f>SUM(Z9:Z10)</f>
        <v>5.3338983050847458E-2</v>
      </c>
      <c r="AA11" s="133"/>
    </row>
    <row r="12" spans="1:27" ht="62.25" customHeight="1">
      <c r="A12" s="131"/>
      <c r="B12" s="21" t="s">
        <v>43</v>
      </c>
      <c r="C12" s="29" t="s">
        <v>197</v>
      </c>
      <c r="D12" s="57" t="s">
        <v>113</v>
      </c>
      <c r="E12" s="26" t="s">
        <v>112</v>
      </c>
      <c r="F12" s="31" t="s">
        <v>101</v>
      </c>
      <c r="G12" s="27" t="s">
        <v>109</v>
      </c>
      <c r="H12" s="38">
        <v>1</v>
      </c>
      <c r="I12" s="15">
        <v>1</v>
      </c>
      <c r="J12" s="46">
        <v>1</v>
      </c>
      <c r="K12" s="46">
        <v>1</v>
      </c>
      <c r="L12" s="46">
        <v>1</v>
      </c>
      <c r="M12" s="46">
        <v>0</v>
      </c>
      <c r="N12" s="46">
        <v>0</v>
      </c>
      <c r="O12" s="46">
        <v>0</v>
      </c>
      <c r="P12" s="45"/>
      <c r="Q12" s="81">
        <f t="shared" ref="Q12:R13" si="5">IF(IF($U12="Maxim.",M12/I12,IF($U12="Minim.",I12/M12,))&gt;=110%,110%,IF(IF($U12="Maxim.",M12/I12,IF($U12="Minim.",I12/M12,))&lt;0%,0%,IF($U12="Maxim.",M12/I12,IF($U12="Minim.",I12/M12,))))</f>
        <v>0</v>
      </c>
      <c r="R12" s="81">
        <f>IF(IF($U12="Maxim.",N12/J12,IF($U12="Minim.",J12/N12,))&gt;=110%,110%,IF(IF($U12="Maxim.",N12/J12,IF($U12="Minim.",J12/N12,))&lt;0%,0%,IF($U12="Maxim.",N12/J12,IF($U12="Minim.",J12/N12,))))</f>
        <v>0</v>
      </c>
      <c r="S12" s="81">
        <f>+'[3]Gestion comercial y de mercadeo'!$Q$3</f>
        <v>1.2395</v>
      </c>
      <c r="T12" s="81">
        <f>+'[3]Gestion comercial y de mercadeo'!$T$3</f>
        <v>0.71638899999999994</v>
      </c>
      <c r="U12" s="36" t="s">
        <v>1</v>
      </c>
      <c r="V12" s="17">
        <v>0.05</v>
      </c>
      <c r="W12" s="37">
        <f>+V12*Q12</f>
        <v>0</v>
      </c>
      <c r="X12" s="37">
        <f>+R12*V12</f>
        <v>0</v>
      </c>
      <c r="Y12" s="37">
        <f>+S12*V12</f>
        <v>6.1975000000000002E-2</v>
      </c>
      <c r="Z12" s="37">
        <f>T12*V12</f>
        <v>3.5819449999999996E-2</v>
      </c>
      <c r="AA12" s="133"/>
    </row>
    <row r="13" spans="1:27" ht="62.25" customHeight="1">
      <c r="A13" s="131"/>
      <c r="B13" s="21" t="s">
        <v>43</v>
      </c>
      <c r="C13" s="29" t="s">
        <v>198</v>
      </c>
      <c r="D13" s="57" t="s">
        <v>115</v>
      </c>
      <c r="E13" s="56" t="s">
        <v>112</v>
      </c>
      <c r="F13" s="31" t="s">
        <v>101</v>
      </c>
      <c r="G13" s="27" t="s">
        <v>116</v>
      </c>
      <c r="H13" s="38">
        <v>1</v>
      </c>
      <c r="I13" s="15">
        <v>1</v>
      </c>
      <c r="J13" s="46">
        <v>1</v>
      </c>
      <c r="K13" s="46">
        <v>1</v>
      </c>
      <c r="L13" s="46">
        <v>1</v>
      </c>
      <c r="M13" s="46">
        <v>0.43</v>
      </c>
      <c r="N13" s="46">
        <v>0.43</v>
      </c>
      <c r="O13" s="46">
        <v>0.43</v>
      </c>
      <c r="P13" s="46">
        <v>0.43</v>
      </c>
      <c r="Q13" s="81">
        <f t="shared" si="5"/>
        <v>0.43</v>
      </c>
      <c r="R13" s="82">
        <f t="shared" si="5"/>
        <v>0.43</v>
      </c>
      <c r="S13" s="82">
        <f t="shared" ref="S13" si="6">IF(IF($U13="Maxim.",O13/K13,IF($U13="Minim.",K13/O13,))&gt;=110%,110%,IF(IF($U13="Maxim.",O13/K13,IF($U13="Minim.",K13/O13,))&lt;0%,0%,IF($U13="Maxim.",O13/K13,IF($U13="Minim.",K13/O13,))))</f>
        <v>0.43</v>
      </c>
      <c r="T13" s="82">
        <f t="shared" ref="T13" si="7">IF(IF($U13="Maxim.",P13/L13,IF($U13="Minim.",L13/P13,))&gt;=110%,110%,IF(IF($U13="Maxim.",P13/L13,IF($U13="Minim.",L13/P13,))&lt;0%,0%,IF($U13="Maxim.",P13/L13,IF($U13="Minim.",L13/P13,))))</f>
        <v>0.43</v>
      </c>
      <c r="U13" s="36" t="s">
        <v>1</v>
      </c>
      <c r="V13" s="17">
        <v>0.05</v>
      </c>
      <c r="W13" s="37">
        <f>+V13*Q13</f>
        <v>2.1500000000000002E-2</v>
      </c>
      <c r="X13" s="37">
        <f>+R13*V13</f>
        <v>2.1500000000000002E-2</v>
      </c>
      <c r="Y13" s="37">
        <f>+S13*V13</f>
        <v>2.1500000000000002E-2</v>
      </c>
      <c r="Z13" s="37">
        <f>T13*V13</f>
        <v>2.1500000000000002E-2</v>
      </c>
      <c r="AA13" s="133"/>
    </row>
    <row r="14" spans="1:27" ht="28.9" customHeight="1">
      <c r="A14" s="140">
        <v>2</v>
      </c>
      <c r="B14" s="143" t="s">
        <v>195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5"/>
      <c r="U14" s="40"/>
      <c r="V14" s="41">
        <f>SUM(V12:V13)</f>
        <v>0.1</v>
      </c>
      <c r="W14" s="41">
        <f>SUM(W12:W13)</f>
        <v>2.1500000000000002E-2</v>
      </c>
      <c r="X14" s="41">
        <f>SUM(X12:X13)</f>
        <v>2.1500000000000002E-2</v>
      </c>
      <c r="Y14" s="41">
        <f>SUM(Y12:Y13)</f>
        <v>8.3475000000000008E-2</v>
      </c>
      <c r="Z14" s="41">
        <f>SUM(Z12:Z13)</f>
        <v>5.7319449999999994E-2</v>
      </c>
    </row>
    <row r="15" spans="1:27" ht="43.15" customHeight="1">
      <c r="A15" s="131"/>
      <c r="B15" s="21" t="s">
        <v>135</v>
      </c>
      <c r="C15" s="99" t="s">
        <v>134</v>
      </c>
      <c r="D15" s="100" t="s">
        <v>137</v>
      </c>
      <c r="E15" s="99" t="s">
        <v>138</v>
      </c>
      <c r="F15" s="31" t="s">
        <v>101</v>
      </c>
      <c r="G15" s="27" t="s">
        <v>109</v>
      </c>
      <c r="H15" s="123">
        <f>+I15</f>
        <v>2.9999999999999997E-4</v>
      </c>
      <c r="I15" s="112">
        <v>2.9999999999999997E-4</v>
      </c>
      <c r="J15" s="112">
        <v>2.9999999999999997E-4</v>
      </c>
      <c r="K15" s="112">
        <v>2.9999999999999997E-4</v>
      </c>
      <c r="L15" s="112">
        <v>2.9999999999999997E-4</v>
      </c>
      <c r="M15" s="120">
        <f>+'[4]CONDICIONES PRESERVACION LICOR'!$B$12</f>
        <v>1.9999999999999999E-7</v>
      </c>
      <c r="N15" s="120">
        <f>+'[4]CONDICIONES PRESERVACION LICOR'!$B$15</f>
        <v>1.088243487950968E-6</v>
      </c>
      <c r="O15" s="120">
        <f>+'[5]CONDICIONES PRESERVACION LICOR'!$D$18</f>
        <v>1.2635236308200555E-5</v>
      </c>
      <c r="P15" s="121">
        <f>+'[5]CONDICIONES PRESERVACION LICOR'!$D$23</f>
        <v>1.2491266040811841E-6</v>
      </c>
      <c r="Q15" s="81">
        <f t="shared" ref="Q15:R17" si="8">IF(IF($U15="Maxim.",M15/I15,IF($U15="Minim.",I15/M15,))&gt;=110%,110%,IF(IF($U15="Maxim.",M15/I15,IF($U15="Minim.",I15/M15,))&lt;0%,0%,IF($U15="Maxim.",M15/I15,IF($U15="Minim.",I15/M15,))))</f>
        <v>1.1000000000000001</v>
      </c>
      <c r="R15" s="82">
        <f t="shared" si="8"/>
        <v>1.1000000000000001</v>
      </c>
      <c r="S15" s="82">
        <f t="shared" ref="S15" si="9">IF(IF($U15="Maxim.",O15/K15,IF($U15="Minim.",K15/O15,))&gt;=110%,110%,IF(IF($U15="Maxim.",O15/K15,IF($U15="Minim.",K15/O15,))&lt;0%,0%,IF($U15="Maxim.",O15/K15,IF($U15="Minim.",K15/O15,))))</f>
        <v>1.1000000000000001</v>
      </c>
      <c r="T15" s="82">
        <f t="shared" ref="T15" si="10">IF(IF($U15="Maxim.",P15/L15,IF($U15="Minim.",L15/P15,))&gt;=110%,110%,IF(IF($U15="Maxim.",P15/L15,IF($U15="Minim.",L15/P15,))&lt;0%,0%,IF($U15="Maxim.",P15/L15,IF($U15="Minim.",L15/P15,))))</f>
        <v>1.1000000000000001</v>
      </c>
      <c r="U15" s="36" t="s">
        <v>2</v>
      </c>
      <c r="V15" s="17">
        <v>0.02</v>
      </c>
      <c r="W15" s="37">
        <f>+V15*Q15</f>
        <v>2.2000000000000002E-2</v>
      </c>
      <c r="X15" s="37">
        <f>+V15*R15</f>
        <v>2.2000000000000002E-2</v>
      </c>
      <c r="Y15" s="37">
        <f>+V15*S15</f>
        <v>2.2000000000000002E-2</v>
      </c>
      <c r="Z15" s="37">
        <f>+V15*T15</f>
        <v>2.2000000000000002E-2</v>
      </c>
      <c r="AA15" s="131"/>
    </row>
    <row r="16" spans="1:27" ht="51" customHeight="1">
      <c r="A16" s="131"/>
      <c r="B16" s="21" t="s">
        <v>135</v>
      </c>
      <c r="C16" s="29" t="s">
        <v>56</v>
      </c>
      <c r="D16" s="28" t="s">
        <v>139</v>
      </c>
      <c r="E16" s="99" t="s">
        <v>138</v>
      </c>
      <c r="F16" s="31" t="s">
        <v>101</v>
      </c>
      <c r="G16" s="27" t="s">
        <v>109</v>
      </c>
      <c r="H16" s="123">
        <f>+I16</f>
        <v>2.9999999999999997E-4</v>
      </c>
      <c r="I16" s="112">
        <v>2.9999999999999997E-4</v>
      </c>
      <c r="J16" s="112">
        <v>2.9999999999999997E-4</v>
      </c>
      <c r="K16" s="112">
        <v>2.9999999999999997E-4</v>
      </c>
      <c r="L16" s="112">
        <v>2.9999999999999997E-4</v>
      </c>
      <c r="M16" s="119">
        <f>+'[4]Desperdicio Licor'!$B$12</f>
        <v>8.9999999999999996E-7</v>
      </c>
      <c r="N16" s="120">
        <f>+'[4]Desperdicio Licor'!$B$15</f>
        <v>6.6006351043335952E-3</v>
      </c>
      <c r="O16" s="120">
        <v>6.7000000000000002E-3</v>
      </c>
      <c r="P16" s="121">
        <v>6.8999999999999999E-3</v>
      </c>
      <c r="Q16" s="81">
        <f t="shared" si="8"/>
        <v>1.1000000000000001</v>
      </c>
      <c r="R16" s="82">
        <f t="shared" si="8"/>
        <v>4.5450171878617759E-2</v>
      </c>
      <c r="S16" s="79">
        <f t="shared" ref="S16:T17" si="11">IF(IF($U16="Maxim.",O16/K16,IF($U16="Minim.",K16/O16,))&gt;=110%,110%,IF(IF($U16="Maxim.",O16/K16,IF($U16="Minim.",K16/O16,))&lt;=0%,0%,IF($U16="Maxim.",O16/K16,IF($U16="Minim.",K16/O16,))))</f>
        <v>4.4776119402985072E-2</v>
      </c>
      <c r="T16" s="80">
        <f>IF(IF($U16="Maxim.",P16/L16,IF($U16="Minim.",L16/P16,))&gt;=110%,110%,IF(IF($U16="Maxim.",P16/L16,IF($U16="Minim.",L16/P16,))&lt;=0%,0%,IF($U16="Maxim.",P16/L16,IF($U16="Minim.",L16/P16,))))</f>
        <v>4.3478260869565216E-2</v>
      </c>
      <c r="U16" s="36" t="s">
        <v>2</v>
      </c>
      <c r="V16" s="45">
        <v>0.01</v>
      </c>
      <c r="W16" s="37">
        <f>+V16*Q16</f>
        <v>1.1000000000000001E-2</v>
      </c>
      <c r="X16" s="32">
        <f>+V16*R16</f>
        <v>4.5450171878617761E-4</v>
      </c>
      <c r="Y16" s="32">
        <f>+V16*S16</f>
        <v>4.4776119402985075E-4</v>
      </c>
      <c r="Z16" s="38">
        <f>+V16*T16</f>
        <v>4.3478260869565219E-4</v>
      </c>
      <c r="AA16" s="131"/>
    </row>
    <row r="17" spans="1:27" ht="45" customHeight="1">
      <c r="A17" s="131"/>
      <c r="B17" s="21" t="s">
        <v>135</v>
      </c>
      <c r="C17" s="29" t="s">
        <v>54</v>
      </c>
      <c r="D17" s="28" t="s">
        <v>140</v>
      </c>
      <c r="E17" s="99" t="s">
        <v>138</v>
      </c>
      <c r="F17" s="31" t="s">
        <v>101</v>
      </c>
      <c r="G17" s="27" t="s">
        <v>109</v>
      </c>
      <c r="H17" s="65">
        <v>0.95</v>
      </c>
      <c r="I17" s="14">
        <v>0.95</v>
      </c>
      <c r="J17" s="32">
        <v>0.95</v>
      </c>
      <c r="K17" s="32">
        <v>0.95</v>
      </c>
      <c r="L17" s="38">
        <v>0.95</v>
      </c>
      <c r="M17" s="119">
        <f>+'[4]Nivel Cummp despacho PT'!$B$12</f>
        <v>0.96</v>
      </c>
      <c r="N17" s="3">
        <f>+'[4]Nivel Cummp despacho PT'!$B$15</f>
        <v>0.96610169491525422</v>
      </c>
      <c r="O17" s="32">
        <v>0.97</v>
      </c>
      <c r="P17" s="17">
        <v>0.97</v>
      </c>
      <c r="Q17" s="81">
        <f t="shared" si="8"/>
        <v>1.0105263157894737</v>
      </c>
      <c r="R17" s="82">
        <f t="shared" si="8"/>
        <v>1.0169491525423728</v>
      </c>
      <c r="S17" s="79">
        <f t="shared" si="11"/>
        <v>1.0210526315789474</v>
      </c>
      <c r="T17" s="80">
        <f t="shared" si="11"/>
        <v>1.0210526315789474</v>
      </c>
      <c r="U17" s="36" t="s">
        <v>1</v>
      </c>
      <c r="V17" s="45">
        <v>0.02</v>
      </c>
      <c r="W17" s="37">
        <f t="shared" ref="W17:W18" si="12">+V17*Q17</f>
        <v>2.0210526315789474E-2</v>
      </c>
      <c r="X17" s="32">
        <f t="shared" ref="X17:X18" si="13">+V17*R17</f>
        <v>2.0338983050847456E-2</v>
      </c>
      <c r="Y17" s="32">
        <f t="shared" ref="Y17:Y18" si="14">+V17*S17</f>
        <v>2.0421052631578947E-2</v>
      </c>
      <c r="Z17" s="38">
        <f t="shared" ref="Z17:Z18" si="15">+V17*T17</f>
        <v>2.0421052631578947E-2</v>
      </c>
      <c r="AA17" s="131"/>
    </row>
    <row r="18" spans="1:27" ht="30">
      <c r="A18" s="131"/>
      <c r="B18" s="98" t="s">
        <v>141</v>
      </c>
      <c r="C18" s="29" t="s">
        <v>55</v>
      </c>
      <c r="D18" s="25" t="s">
        <v>142</v>
      </c>
      <c r="E18" s="26" t="s">
        <v>143</v>
      </c>
      <c r="F18" s="31" t="s">
        <v>101</v>
      </c>
      <c r="G18" s="27" t="s">
        <v>109</v>
      </c>
      <c r="H18" s="65">
        <v>0.02</v>
      </c>
      <c r="I18" s="15">
        <v>0.02</v>
      </c>
      <c r="J18" s="46">
        <v>0.02</v>
      </c>
      <c r="K18" s="46">
        <v>0.02</v>
      </c>
      <c r="L18" s="16">
        <v>0.02</v>
      </c>
      <c r="M18" s="119">
        <f>+'[6]Preserv Alm Gral'!$B$12</f>
        <v>1.0724763891803343E-2</v>
      </c>
      <c r="N18" s="113">
        <f>+'[6]Preserv Alm Gral'!$B$15</f>
        <v>1.185094944691883E-2</v>
      </c>
      <c r="O18" s="113">
        <v>1.1299999999999999E-2</v>
      </c>
      <c r="P18" s="114">
        <v>1.0999999999999999E-2</v>
      </c>
      <c r="Q18" s="81">
        <v>1</v>
      </c>
      <c r="R18" s="81">
        <v>1</v>
      </c>
      <c r="S18" s="81">
        <v>1</v>
      </c>
      <c r="T18" s="81">
        <v>1</v>
      </c>
      <c r="U18" s="36" t="s">
        <v>1</v>
      </c>
      <c r="V18" s="17">
        <v>0.02</v>
      </c>
      <c r="W18" s="37">
        <f t="shared" si="12"/>
        <v>0.02</v>
      </c>
      <c r="X18" s="32">
        <f t="shared" si="13"/>
        <v>0.02</v>
      </c>
      <c r="Y18" s="32">
        <f t="shared" si="14"/>
        <v>0.02</v>
      </c>
      <c r="Z18" s="38">
        <f t="shared" si="15"/>
        <v>0.02</v>
      </c>
      <c r="AA18" s="131"/>
    </row>
    <row r="19" spans="1:27" ht="30">
      <c r="A19" s="131"/>
      <c r="B19" s="98" t="s">
        <v>141</v>
      </c>
      <c r="C19" s="29" t="s">
        <v>57</v>
      </c>
      <c r="D19" s="73" t="s">
        <v>144</v>
      </c>
      <c r="E19" s="26" t="s">
        <v>143</v>
      </c>
      <c r="F19" s="31" t="s">
        <v>101</v>
      </c>
      <c r="G19" s="27" t="s">
        <v>194</v>
      </c>
      <c r="H19" s="65">
        <v>0.9</v>
      </c>
      <c r="I19" s="16">
        <v>0.9</v>
      </c>
      <c r="J19" s="16">
        <v>0.9</v>
      </c>
      <c r="K19" s="16">
        <v>0.9</v>
      </c>
      <c r="L19" s="16">
        <v>0.9</v>
      </c>
      <c r="M19" s="119">
        <f>+'[3]Gestion logistica (PT)'!$T$7</f>
        <v>0.86</v>
      </c>
      <c r="N19" s="46">
        <v>0.86</v>
      </c>
      <c r="O19" s="45">
        <v>0.9</v>
      </c>
      <c r="P19" s="45">
        <v>0.9</v>
      </c>
      <c r="Q19" s="82">
        <f t="shared" ref="Q19:T19" si="16">IF(IF($U19="Maxim.",M19/I19,IF($U19="Minim.",I19/M19,))&gt;=110%,110%,IF(IF($U19="Maxim.",M19/I19,IF($U19="Minim.",I19/M19,))&lt;0%,0%,IF($U19="Maxim.",M19/I19,IF($U19="Minim.",I19/M19,))))</f>
        <v>0.95555555555555549</v>
      </c>
      <c r="R19" s="82">
        <f t="shared" si="16"/>
        <v>0.95555555555555549</v>
      </c>
      <c r="S19" s="82">
        <f t="shared" si="16"/>
        <v>1</v>
      </c>
      <c r="T19" s="82">
        <f t="shared" si="16"/>
        <v>1</v>
      </c>
      <c r="U19" s="36" t="s">
        <v>1</v>
      </c>
      <c r="V19" s="17">
        <v>0.02</v>
      </c>
      <c r="W19" s="37">
        <f t="shared" ref="W19" si="17">+V19*Q19</f>
        <v>1.911111111111111E-2</v>
      </c>
      <c r="X19" s="32">
        <f t="shared" ref="X19" si="18">+V19*R19</f>
        <v>1.911111111111111E-2</v>
      </c>
      <c r="Y19" s="32">
        <f t="shared" ref="Y19" si="19">+V19*S19</f>
        <v>0.02</v>
      </c>
      <c r="Z19" s="38">
        <f t="shared" ref="Z19" si="20">+V19*T19</f>
        <v>0.02</v>
      </c>
      <c r="AA19" s="131"/>
    </row>
    <row r="20" spans="1:27" ht="28.9" customHeight="1">
      <c r="A20" s="140">
        <v>3</v>
      </c>
      <c r="B20" s="143" t="s">
        <v>136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5"/>
      <c r="U20" s="40"/>
      <c r="V20" s="41">
        <f>SUM(V15:V19)</f>
        <v>9.0000000000000011E-2</v>
      </c>
      <c r="W20" s="41">
        <f>SUM(W15:W19)</f>
        <v>9.2321637426900582E-2</v>
      </c>
      <c r="X20" s="41">
        <f>SUM(X15:X19)</f>
        <v>8.1904595880744738E-2</v>
      </c>
      <c r="Y20" s="41">
        <f>SUM(Y15:Y19)</f>
        <v>8.2868813825608803E-2</v>
      </c>
      <c r="Z20" s="41">
        <f>SUM(Z15:Z19)</f>
        <v>8.2855835240274608E-2</v>
      </c>
    </row>
    <row r="21" spans="1:27" ht="57">
      <c r="A21" s="131"/>
      <c r="B21" s="21" t="s">
        <v>149</v>
      </c>
      <c r="C21" s="29" t="s">
        <v>60</v>
      </c>
      <c r="D21" s="25" t="s">
        <v>145</v>
      </c>
      <c r="E21" s="56" t="s">
        <v>146</v>
      </c>
      <c r="F21" s="31" t="s">
        <v>101</v>
      </c>
      <c r="G21" s="27" t="s">
        <v>106</v>
      </c>
      <c r="H21" s="64">
        <v>1</v>
      </c>
      <c r="I21" s="46">
        <v>1</v>
      </c>
      <c r="J21" s="46">
        <v>1</v>
      </c>
      <c r="K21" s="46">
        <v>1</v>
      </c>
      <c r="L21" s="46">
        <v>1</v>
      </c>
      <c r="M21" s="45">
        <f>+'[3]G. comunic publi y documental'!$S$4</f>
        <v>0.96</v>
      </c>
      <c r="N21" s="45">
        <v>0.96</v>
      </c>
      <c r="O21" s="45">
        <v>0.96</v>
      </c>
      <c r="P21" s="45">
        <v>0.96</v>
      </c>
      <c r="Q21" s="81">
        <f t="shared" ref="Q21:R33" si="21">IF(IF($U21="Maxim.",M21/I21,IF($U21="Minim.",I21/M21,))&gt;=110%,110%,IF(IF($U21="Maxim.",M21/I21,IF($U21="Minim.",I21/M21,))&lt;0%,0%,IF($U21="Maxim.",M21/I21,IF($U21="Minim.",I21/M21,))))</f>
        <v>0.96</v>
      </c>
      <c r="R21" s="82">
        <f t="shared" si="21"/>
        <v>0.96</v>
      </c>
      <c r="S21" s="79">
        <f t="shared" ref="S21:T33" si="22">IF(IF($U21="Maxim.",O21/K21,IF($U21="Minim.",K21/O21,))&gt;=110%,110%,IF(IF($U21="Maxim.",O21/K21,IF($U21="Minim.",K21/O21,))&lt;=0%,0%,IF($U21="Maxim.",O21/K21,IF($U21="Minim.",K21/O21,))))</f>
        <v>0.96</v>
      </c>
      <c r="T21" s="80">
        <f t="shared" si="22"/>
        <v>0.96</v>
      </c>
      <c r="U21" s="36" t="s">
        <v>1</v>
      </c>
      <c r="V21" s="17">
        <v>0.04</v>
      </c>
      <c r="W21" s="37">
        <f>+V21*Q21</f>
        <v>3.8399999999999997E-2</v>
      </c>
      <c r="X21" s="32">
        <f t="shared" ref="X21" si="23">+V21*R21</f>
        <v>3.8399999999999997E-2</v>
      </c>
      <c r="Y21" s="32">
        <f t="shared" ref="Y21:Y24" si="24">+V21*S21</f>
        <v>3.8399999999999997E-2</v>
      </c>
      <c r="Z21" s="38">
        <f t="shared" ref="Z21:Z24" si="25">+V21*T21</f>
        <v>3.8399999999999997E-2</v>
      </c>
      <c r="AA21" s="131"/>
    </row>
    <row r="22" spans="1:27" ht="28.9" customHeight="1">
      <c r="A22" s="140">
        <v>4</v>
      </c>
      <c r="B22" s="143" t="s">
        <v>150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21"/>
        <v>0</v>
      </c>
      <c r="R22" s="144">
        <f t="shared" si="21"/>
        <v>0</v>
      </c>
      <c r="S22" s="144">
        <f t="shared" si="22"/>
        <v>0</v>
      </c>
      <c r="T22" s="145">
        <f t="shared" si="22"/>
        <v>0</v>
      </c>
      <c r="U22" s="111"/>
      <c r="V22" s="41">
        <f>+V21</f>
        <v>0.04</v>
      </c>
      <c r="W22" s="41">
        <f>+W21</f>
        <v>3.8399999999999997E-2</v>
      </c>
      <c r="X22" s="41">
        <f t="shared" ref="X22:Z22" si="26">+X21</f>
        <v>3.8399999999999997E-2</v>
      </c>
      <c r="Y22" s="41">
        <f t="shared" si="26"/>
        <v>3.8399999999999997E-2</v>
      </c>
      <c r="Z22" s="41">
        <f t="shared" si="26"/>
        <v>3.8399999999999997E-2</v>
      </c>
    </row>
    <row r="23" spans="1:27" ht="51.75" customHeight="1">
      <c r="A23" s="131"/>
      <c r="B23" s="21" t="s">
        <v>148</v>
      </c>
      <c r="C23" s="39" t="s">
        <v>61</v>
      </c>
      <c r="D23" s="28" t="s">
        <v>151</v>
      </c>
      <c r="E23" s="26" t="s">
        <v>138</v>
      </c>
      <c r="F23" s="26" t="s">
        <v>101</v>
      </c>
      <c r="G23" s="54" t="s">
        <v>109</v>
      </c>
      <c r="H23" s="124">
        <v>3.3E-3</v>
      </c>
      <c r="I23" s="112">
        <v>3.3E-3</v>
      </c>
      <c r="J23" s="113">
        <v>3.3E-3</v>
      </c>
      <c r="K23" s="113">
        <v>3.0000000000000001E-3</v>
      </c>
      <c r="L23" s="113">
        <v>3.3E-3</v>
      </c>
      <c r="M23" s="113">
        <f>+'[7]% desperdicio'!$B$12</f>
        <v>2.5891967726406895E-3</v>
      </c>
      <c r="N23" s="113">
        <f>+'[7]% desperdicio'!$B$15</f>
        <v>2.3464019376434608E-3</v>
      </c>
      <c r="O23" s="113">
        <v>2.64E-3</v>
      </c>
      <c r="P23" s="114">
        <v>2.64E-3</v>
      </c>
      <c r="Q23" s="81">
        <f t="shared" si="21"/>
        <v>1.1000000000000001</v>
      </c>
      <c r="R23" s="82">
        <f t="shared" si="21"/>
        <v>1.1000000000000001</v>
      </c>
      <c r="S23" s="79">
        <f t="shared" si="22"/>
        <v>1.1000000000000001</v>
      </c>
      <c r="T23" s="80">
        <f t="shared" si="22"/>
        <v>1.1000000000000001</v>
      </c>
      <c r="U23" s="36" t="s">
        <v>2</v>
      </c>
      <c r="V23" s="17">
        <v>0.02</v>
      </c>
      <c r="W23" s="37">
        <f>+V23*Q23</f>
        <v>2.2000000000000002E-2</v>
      </c>
      <c r="X23" s="32">
        <f>+V23*R23</f>
        <v>2.2000000000000002E-2</v>
      </c>
      <c r="Y23" s="32">
        <f>+V23*S23</f>
        <v>2.2000000000000002E-2</v>
      </c>
      <c r="Z23" s="38">
        <f>+V23*T23</f>
        <v>2.2000000000000002E-2</v>
      </c>
      <c r="AA23" s="131"/>
    </row>
    <row r="24" spans="1:27" ht="44.25" customHeight="1">
      <c r="A24" s="131"/>
      <c r="B24" s="21" t="s">
        <v>148</v>
      </c>
      <c r="C24" s="29" t="s">
        <v>62</v>
      </c>
      <c r="D24" s="25" t="s">
        <v>152</v>
      </c>
      <c r="E24" s="26" t="s">
        <v>138</v>
      </c>
      <c r="F24" s="31" t="s">
        <v>153</v>
      </c>
      <c r="G24" s="27" t="s">
        <v>109</v>
      </c>
      <c r="H24" s="104">
        <v>3020</v>
      </c>
      <c r="I24" s="115">
        <f>+'[7]costo Pn'!$C$12</f>
        <v>3619.2930936159751</v>
      </c>
      <c r="J24" s="116">
        <f>+'[7]costo Pn'!$C$15</f>
        <v>3250.3238733217049</v>
      </c>
      <c r="K24" s="116">
        <f>+'[3]Gestion de produccion'!$P$4</f>
        <v>2862.9268506650133</v>
      </c>
      <c r="L24" s="116">
        <f>+'[3]Gestion de produccion'!$S$4</f>
        <v>3280.4883703423525</v>
      </c>
      <c r="M24" s="116">
        <f>+'[7]costo Pn'!$B$12</f>
        <v>3333.1363251349926</v>
      </c>
      <c r="N24" s="116">
        <f>+'[7]costo Pn'!$B$15</f>
        <v>2946.8541091154962</v>
      </c>
      <c r="O24" s="116">
        <v>3079</v>
      </c>
      <c r="P24" s="117">
        <v>3007</v>
      </c>
      <c r="Q24" s="81">
        <f t="shared" si="21"/>
        <v>1.0858521046148308</v>
      </c>
      <c r="R24" s="82">
        <f t="shared" si="21"/>
        <v>1.1000000000000001</v>
      </c>
      <c r="S24" s="79">
        <f t="shared" si="22"/>
        <v>0.9298235955391404</v>
      </c>
      <c r="T24" s="80">
        <f t="shared" si="22"/>
        <v>1.0909505721125217</v>
      </c>
      <c r="U24" s="36" t="s">
        <v>2</v>
      </c>
      <c r="V24" s="17">
        <v>0.02</v>
      </c>
      <c r="W24" s="37">
        <f>+V24*Q24</f>
        <v>2.1717042092296617E-2</v>
      </c>
      <c r="X24" s="32">
        <f>+V24*R24</f>
        <v>2.2000000000000002E-2</v>
      </c>
      <c r="Y24" s="32">
        <f t="shared" si="24"/>
        <v>1.859647191078281E-2</v>
      </c>
      <c r="Z24" s="38">
        <f t="shared" si="25"/>
        <v>2.1819011442250433E-2</v>
      </c>
      <c r="AA24" s="131"/>
    </row>
    <row r="25" spans="1:27" ht="55.5" customHeight="1">
      <c r="A25" s="131"/>
      <c r="B25" s="21" t="s">
        <v>148</v>
      </c>
      <c r="C25" s="29" t="s">
        <v>63</v>
      </c>
      <c r="D25" s="25" t="s">
        <v>154</v>
      </c>
      <c r="E25" s="26" t="s">
        <v>138</v>
      </c>
      <c r="F25" s="26" t="s">
        <v>101</v>
      </c>
      <c r="G25" s="27" t="s">
        <v>116</v>
      </c>
      <c r="H25" s="38">
        <v>0.9</v>
      </c>
      <c r="I25" s="15">
        <v>0.9</v>
      </c>
      <c r="J25" s="46">
        <v>0.9</v>
      </c>
      <c r="K25" s="46">
        <v>0.9</v>
      </c>
      <c r="L25" s="46">
        <v>0.9</v>
      </c>
      <c r="M25" s="46">
        <f>+'[3]Gestion de produccion'!$J$5</f>
        <v>1.060863157894737</v>
      </c>
      <c r="N25" s="46">
        <f>+'[3]Gestion de produccion'!$M$5</f>
        <v>1</v>
      </c>
      <c r="O25" s="46">
        <v>0.97</v>
      </c>
      <c r="P25" s="45">
        <v>1.03</v>
      </c>
      <c r="Q25" s="81">
        <f>IF(IF($U25="Maxim.",M25/I25,IF($U25="Minim.",I25/M25,))&gt;=110%,110%,IF(IF($U25="Maxim.",M25/I25,IF($U25="Minim.",I25/M25,))&lt;0%,0%,IF($U25="Maxim.",M25/I25,IF($U25="Minim.",I25/M25,))))</f>
        <v>1.1000000000000001</v>
      </c>
      <c r="R25" s="82">
        <f>IF(IF($U25="Maxim.",N25/J25,IF($U25="Minim.",J25/N25,))&gt;=110%,110%,IF(IF($U25="Maxim.",N25/J25,IF($U25="Minim.",J25/N25,))&lt;0%,0%,IF($U25="Maxim.",N25/J25,IF($U25="Minim.",J25/N25,))))</f>
        <v>1.1000000000000001</v>
      </c>
      <c r="S25" s="79">
        <f>IF(IF($U25="Maxim.",O25/K25,IF($U25="Minim.",K25/O25,))&gt;=110%,110%,IF(IF($U25="Maxim.",O25/K25,IF($U25="Minim.",K25/O25,))&lt;=0%,0%,IF($U25="Maxim.",O25/K25,IF($U25="Minim.",K25/O25,))))</f>
        <v>1.0777777777777777</v>
      </c>
      <c r="T25" s="80">
        <f>IF(IF($U25="Maxim.",P25/L25,IF($U25="Minim.",L25/P25,))&gt;=110%,110%,IF(IF($U25="Maxim.",P25/L25,IF($U25="Minim.",L25/P25,))&lt;=0%,0%,IF($U25="Maxim.",P25/L25,IF($U25="Minim.",L25/P25,))))</f>
        <v>1.1000000000000001</v>
      </c>
      <c r="U25" s="36" t="s">
        <v>1</v>
      </c>
      <c r="V25" s="17">
        <v>0.02</v>
      </c>
      <c r="W25" s="37">
        <f>+V25*Q25</f>
        <v>2.2000000000000002E-2</v>
      </c>
      <c r="X25" s="32">
        <f>+V25*R25</f>
        <v>2.2000000000000002E-2</v>
      </c>
      <c r="Y25" s="32">
        <f>+V25*S25</f>
        <v>2.1555555555555553E-2</v>
      </c>
      <c r="Z25" s="38">
        <f>+V25*T25</f>
        <v>2.2000000000000002E-2</v>
      </c>
      <c r="AA25" s="131"/>
    </row>
    <row r="26" spans="1:27" ht="28.9" customHeight="1">
      <c r="A26" s="140">
        <v>5</v>
      </c>
      <c r="B26" s="143" t="s">
        <v>121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>
        <f>IF(IF($U26="Maxim.",M26/I26,IF($U26="Minim.",I26/M26,))&gt;=110%,110%,IF(IF($U26="Maxim.",M26/I26,IF($U26="Minim.",I26/M26,))&lt;0%,0%,IF($U26="Maxim.",M26/I26,IF($U26="Minim.",I26/M26,))))</f>
        <v>0</v>
      </c>
      <c r="R26" s="144">
        <f>IF(IF($U26="Maxim.",N26/J26,IF($U26="Minim.",J26/N26,))&gt;=110%,110%,IF(IF($U26="Maxim.",N26/J26,IF($U26="Minim.",J26/N26,))&lt;0%,0%,IF($U26="Maxim.",N26/J26,IF($U26="Minim.",J26/N26,))))</f>
        <v>0</v>
      </c>
      <c r="S26" s="144">
        <f>IF(IF($U26="Maxim.",O26/K26,IF($U26="Minim.",K26/O26,))&gt;=110%,110%,IF(IF($U26="Maxim.",O26/K26,IF($U26="Minim.",K26/O26,))&lt;=0%,0%,IF($U26="Maxim.",O26/K26,IF($U26="Minim.",K26/O26,))))</f>
        <v>0</v>
      </c>
      <c r="T26" s="145">
        <f>IF(IF($U26="Maxim.",P26/L26,IF($U26="Minim.",L26/P26,))&gt;=110%,110%,IF(IF($U26="Maxim.",P26/L26,IF($U26="Minim.",L26/P26,))&lt;=0%,0%,IF($U26="Maxim.",P26/L26,IF($U26="Minim.",L26/P26,))))</f>
        <v>0</v>
      </c>
      <c r="U26" s="111"/>
      <c r="V26" s="41">
        <f>SUM(V23:V25)</f>
        <v>0.06</v>
      </c>
      <c r="W26" s="41">
        <f>SUM(W23:W25)</f>
        <v>6.5717042092296618E-2</v>
      </c>
      <c r="X26" s="41">
        <f>SUM(X23:X25)</f>
        <v>6.6000000000000003E-2</v>
      </c>
      <c r="Y26" s="41">
        <f>SUM(Y23:Y25)</f>
        <v>6.2152027466338369E-2</v>
      </c>
      <c r="Z26" s="41">
        <f>SUM(Z23:Z25)</f>
        <v>6.5819011442250441E-2</v>
      </c>
    </row>
    <row r="27" spans="1:27" ht="39" customHeight="1">
      <c r="A27" s="131"/>
      <c r="B27" s="21" t="s">
        <v>67</v>
      </c>
      <c r="C27" s="29" t="s">
        <v>66</v>
      </c>
      <c r="D27" s="25" t="s">
        <v>155</v>
      </c>
      <c r="E27" s="26" t="s">
        <v>156</v>
      </c>
      <c r="F27" s="31" t="s">
        <v>101</v>
      </c>
      <c r="G27" s="27" t="s">
        <v>102</v>
      </c>
      <c r="H27" s="38">
        <v>1</v>
      </c>
      <c r="I27" s="46">
        <v>1</v>
      </c>
      <c r="J27" s="46">
        <v>1</v>
      </c>
      <c r="K27" s="46">
        <v>1</v>
      </c>
      <c r="L27" s="46">
        <v>1</v>
      </c>
      <c r="M27" s="45">
        <v>1</v>
      </c>
      <c r="N27" s="45">
        <v>1</v>
      </c>
      <c r="O27" s="45">
        <v>1</v>
      </c>
      <c r="P27" s="45">
        <v>1</v>
      </c>
      <c r="Q27" s="81">
        <f>+[8]contratacion!$C$12</f>
        <v>1</v>
      </c>
      <c r="R27" s="82">
        <f>+[8]contratacion!$C$15</f>
        <v>1</v>
      </c>
      <c r="S27" s="79">
        <f t="shared" ref="S27" si="27">IF(IF($U27="Maxim.",O27/K27,IF($U27="Minim.",K27/O27,))&gt;=110%,110%,IF(IF($U27="Maxim.",O27/K27,IF($U27="Minim.",K27/O27,))&lt;=0%,0%,IF($U27="Maxim.",O27/K27,IF($U27="Minim.",K27/O27,))))</f>
        <v>1</v>
      </c>
      <c r="T27" s="80">
        <f t="shared" ref="T27" si="28">IF(IF($U27="Maxim.",P27/L27,IF($U27="Minim.",L27/P27,))&gt;=110%,110%,IF(IF($U27="Maxim.",P27/L27,IF($U27="Minim.",L27/P27,))&lt;=0%,0%,IF($U27="Maxim.",P27/L27,IF($U27="Minim.",L27/P27,))))</f>
        <v>1</v>
      </c>
      <c r="U27" s="36" t="s">
        <v>1</v>
      </c>
      <c r="V27" s="17">
        <v>0.02</v>
      </c>
      <c r="W27" s="37">
        <f>+V27*Q27</f>
        <v>0.02</v>
      </c>
      <c r="X27" s="32">
        <f>+V27*R27</f>
        <v>0.02</v>
      </c>
      <c r="Y27" s="32">
        <f>+V27*S27</f>
        <v>0.02</v>
      </c>
      <c r="Z27" s="38">
        <f>+V27*T27</f>
        <v>0.02</v>
      </c>
      <c r="AA27" s="131"/>
    </row>
    <row r="28" spans="1:27" ht="37.9" customHeight="1">
      <c r="A28" s="131"/>
      <c r="B28" s="21" t="s">
        <v>67</v>
      </c>
      <c r="C28" s="29" t="s">
        <v>64</v>
      </c>
      <c r="D28" s="22" t="s">
        <v>157</v>
      </c>
      <c r="E28" s="26" t="s">
        <v>156</v>
      </c>
      <c r="F28" s="31" t="s">
        <v>101</v>
      </c>
      <c r="G28" s="27" t="s">
        <v>102</v>
      </c>
      <c r="H28" s="38">
        <v>1</v>
      </c>
      <c r="I28" s="46">
        <v>1</v>
      </c>
      <c r="J28" s="46">
        <v>1</v>
      </c>
      <c r="K28" s="46">
        <v>1</v>
      </c>
      <c r="L28" s="46">
        <v>1</v>
      </c>
      <c r="M28" s="45">
        <v>1</v>
      </c>
      <c r="N28" s="45">
        <v>1</v>
      </c>
      <c r="O28" s="45">
        <v>0.71</v>
      </c>
      <c r="P28" s="45">
        <v>0.71</v>
      </c>
      <c r="Q28" s="81">
        <f t="shared" si="21"/>
        <v>1</v>
      </c>
      <c r="R28" s="82">
        <f t="shared" si="21"/>
        <v>1</v>
      </c>
      <c r="S28" s="79">
        <f t="shared" si="22"/>
        <v>0.71</v>
      </c>
      <c r="T28" s="80">
        <f t="shared" si="22"/>
        <v>0.71</v>
      </c>
      <c r="U28" s="36" t="s">
        <v>1</v>
      </c>
      <c r="V28" s="45">
        <v>0.02</v>
      </c>
      <c r="W28" s="37">
        <f>+V28*Q28</f>
        <v>0.02</v>
      </c>
      <c r="X28" s="32">
        <f>+V28*R28</f>
        <v>0.02</v>
      </c>
      <c r="Y28" s="32">
        <f>+V28*S28</f>
        <v>1.4199999999999999E-2</v>
      </c>
      <c r="Z28" s="38">
        <f>+V28*T28</f>
        <v>1.4199999999999999E-2</v>
      </c>
      <c r="AA28" s="131"/>
    </row>
    <row r="29" spans="1:27" ht="45" customHeight="1">
      <c r="A29" s="131"/>
      <c r="B29" s="21" t="s">
        <v>67</v>
      </c>
      <c r="C29" s="29" t="s">
        <v>65</v>
      </c>
      <c r="D29" s="22" t="s">
        <v>158</v>
      </c>
      <c r="E29" s="26" t="s">
        <v>156</v>
      </c>
      <c r="F29" s="31" t="s">
        <v>101</v>
      </c>
      <c r="G29" s="27" t="s">
        <v>116</v>
      </c>
      <c r="H29" s="38">
        <v>1</v>
      </c>
      <c r="I29" s="46">
        <v>1</v>
      </c>
      <c r="J29" s="46">
        <v>1</v>
      </c>
      <c r="K29" s="46">
        <v>1</v>
      </c>
      <c r="L29" s="46">
        <v>1</v>
      </c>
      <c r="M29" s="45">
        <v>1</v>
      </c>
      <c r="N29" s="45">
        <v>1</v>
      </c>
      <c r="O29" s="45">
        <v>0.8</v>
      </c>
      <c r="P29" s="45">
        <v>0.8</v>
      </c>
      <c r="Q29" s="81">
        <v>1</v>
      </c>
      <c r="R29" s="82">
        <f t="shared" si="21"/>
        <v>1</v>
      </c>
      <c r="S29" s="79">
        <f t="shared" si="22"/>
        <v>0.8</v>
      </c>
      <c r="T29" s="80">
        <f t="shared" si="22"/>
        <v>0.8</v>
      </c>
      <c r="U29" s="36" t="s">
        <v>1</v>
      </c>
      <c r="V29" s="45">
        <v>0.02</v>
      </c>
      <c r="W29" s="37">
        <f>+V29*Q29</f>
        <v>0.02</v>
      </c>
      <c r="X29" s="32">
        <f>+V29*R29</f>
        <v>0.02</v>
      </c>
      <c r="Y29" s="32">
        <f>+V29*S29</f>
        <v>1.6E-2</v>
      </c>
      <c r="Z29" s="38">
        <f>+V29*T29</f>
        <v>1.6E-2</v>
      </c>
      <c r="AA29" s="131"/>
    </row>
    <row r="30" spans="1:27" ht="28.9" customHeight="1">
      <c r="A30" s="140">
        <v>6</v>
      </c>
      <c r="B30" s="143" t="s">
        <v>122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>IF(IF($U30="Maxim.",M30/I30,IF($U30="Minim.",I30/M30,))&gt;=110%,110%,IF(IF($U30="Maxim.",M30/I30,IF($U30="Minim.",I30/M30,))&lt;0%,0%,IF($U30="Maxim.",M30/I30,IF($U30="Minim.",I30/M30,))))</f>
        <v>0</v>
      </c>
      <c r="R30" s="144">
        <f>IF(IF($U30="Maxim.",N30/J30,IF($U30="Minim.",J30/N30,))&gt;=110%,110%,IF(IF($U30="Maxim.",N30/J30,IF($U30="Minim.",J30/N30,))&lt;0%,0%,IF($U30="Maxim.",N30/J30,IF($U30="Minim.",J30/N30,))))</f>
        <v>0</v>
      </c>
      <c r="S30" s="144">
        <f>IF(IF($U30="Maxim.",O30/K30,IF($U30="Minim.",K30/O30,))&gt;=110%,110%,IF(IF($U30="Maxim.",O30/K30,IF($U30="Minim.",K30/O30,))&lt;=0%,0%,IF($U30="Maxim.",O30/K30,IF($U30="Minim.",K30/O30,))))</f>
        <v>0</v>
      </c>
      <c r="T30" s="145">
        <f>IF(IF($U30="Maxim.",P30/L30,IF($U30="Minim.",L30/P30,))&gt;=110%,110%,IF(IF($U30="Maxim.",P30/L30,IF($U30="Minim.",L30/P30,))&lt;=0%,0%,IF($U30="Maxim.",P30/L30,IF($U30="Minim.",L30/P30,))))</f>
        <v>0</v>
      </c>
      <c r="U30" s="111"/>
      <c r="V30" s="41">
        <f>SUM(V27:V29)</f>
        <v>0.06</v>
      </c>
      <c r="W30" s="41">
        <f>SUM(W27:W29)</f>
        <v>0.06</v>
      </c>
      <c r="X30" s="41">
        <f>SUM(X27:X29)</f>
        <v>0.06</v>
      </c>
      <c r="Y30" s="41">
        <f>SUM(Y27:Y29)</f>
        <v>5.0200000000000002E-2</v>
      </c>
      <c r="Z30" s="41">
        <f>SUM(Z27:Z29)</f>
        <v>5.0200000000000002E-2</v>
      </c>
    </row>
    <row r="31" spans="1:27" ht="59.45" customHeight="1">
      <c r="A31" s="131"/>
      <c r="B31" s="21" t="s">
        <v>49</v>
      </c>
      <c r="C31" s="29" t="s">
        <v>70</v>
      </c>
      <c r="D31" s="22" t="s">
        <v>159</v>
      </c>
      <c r="E31" s="26" t="s">
        <v>143</v>
      </c>
      <c r="F31" s="31" t="s">
        <v>101</v>
      </c>
      <c r="G31" s="27" t="s">
        <v>106</v>
      </c>
      <c r="H31" s="38">
        <v>1</v>
      </c>
      <c r="I31" s="46">
        <v>1</v>
      </c>
      <c r="J31" s="46">
        <v>1</v>
      </c>
      <c r="K31" s="46">
        <v>1</v>
      </c>
      <c r="L31" s="46">
        <v>1</v>
      </c>
      <c r="M31" s="45">
        <v>1</v>
      </c>
      <c r="N31" s="45">
        <v>1</v>
      </c>
      <c r="O31" s="45">
        <v>1</v>
      </c>
      <c r="P31" s="45">
        <v>1</v>
      </c>
      <c r="Q31" s="81">
        <f t="shared" si="21"/>
        <v>1</v>
      </c>
      <c r="R31" s="82">
        <f t="shared" si="21"/>
        <v>1</v>
      </c>
      <c r="S31" s="79">
        <f t="shared" si="22"/>
        <v>1</v>
      </c>
      <c r="T31" s="80">
        <f t="shared" si="22"/>
        <v>1</v>
      </c>
      <c r="U31" s="36" t="s">
        <v>1</v>
      </c>
      <c r="V31" s="17">
        <v>0.02</v>
      </c>
      <c r="W31" s="37">
        <f>+V31*Q31</f>
        <v>0.02</v>
      </c>
      <c r="X31" s="32">
        <f>+V31*R31</f>
        <v>0.02</v>
      </c>
      <c r="Y31" s="32">
        <f>+V31*S31</f>
        <v>0.02</v>
      </c>
      <c r="Z31" s="38">
        <f>+V31*T31</f>
        <v>0.02</v>
      </c>
      <c r="AA31" s="131"/>
    </row>
    <row r="32" spans="1:27" ht="49.15" customHeight="1">
      <c r="A32" s="131"/>
      <c r="B32" s="21" t="s">
        <v>49</v>
      </c>
      <c r="C32" s="29" t="s">
        <v>69</v>
      </c>
      <c r="D32" s="22" t="s">
        <v>160</v>
      </c>
      <c r="E32" s="26" t="s">
        <v>143</v>
      </c>
      <c r="F32" s="31" t="s">
        <v>101</v>
      </c>
      <c r="G32" s="27" t="s">
        <v>106</v>
      </c>
      <c r="H32" s="38">
        <v>1</v>
      </c>
      <c r="I32" s="46">
        <v>1</v>
      </c>
      <c r="J32" s="46">
        <v>1</v>
      </c>
      <c r="K32" s="46">
        <v>1</v>
      </c>
      <c r="L32" s="46">
        <v>1</v>
      </c>
      <c r="M32" s="45">
        <v>1</v>
      </c>
      <c r="N32" s="45">
        <v>1</v>
      </c>
      <c r="O32" s="45">
        <v>0.86</v>
      </c>
      <c r="P32" s="45">
        <v>1</v>
      </c>
      <c r="Q32" s="81">
        <f t="shared" si="21"/>
        <v>1</v>
      </c>
      <c r="R32" s="82">
        <f t="shared" si="21"/>
        <v>1</v>
      </c>
      <c r="S32" s="79">
        <f t="shared" si="22"/>
        <v>0.86</v>
      </c>
      <c r="T32" s="80">
        <f t="shared" si="22"/>
        <v>1</v>
      </c>
      <c r="U32" s="36" t="s">
        <v>1</v>
      </c>
      <c r="V32" s="17">
        <v>0.02</v>
      </c>
      <c r="W32" s="37">
        <f>+V32*Q32</f>
        <v>0.02</v>
      </c>
      <c r="X32" s="32">
        <f>+V32*R32</f>
        <v>0.02</v>
      </c>
      <c r="Y32" s="32">
        <f>+V32*S32</f>
        <v>1.72E-2</v>
      </c>
      <c r="Z32" s="38">
        <f>+V32*T32</f>
        <v>0.02</v>
      </c>
      <c r="AA32" s="131"/>
    </row>
    <row r="33" spans="1:27" ht="48" customHeight="1">
      <c r="A33" s="131"/>
      <c r="B33" s="21" t="s">
        <v>49</v>
      </c>
      <c r="C33" s="29" t="s">
        <v>68</v>
      </c>
      <c r="D33" s="25" t="s">
        <v>161</v>
      </c>
      <c r="E33" s="26" t="s">
        <v>143</v>
      </c>
      <c r="F33" s="31" t="s">
        <v>101</v>
      </c>
      <c r="G33" s="27" t="s">
        <v>106</v>
      </c>
      <c r="H33" s="38">
        <v>0.9</v>
      </c>
      <c r="I33" s="46">
        <v>0.9</v>
      </c>
      <c r="J33" s="46">
        <v>0.9</v>
      </c>
      <c r="K33" s="46">
        <v>0.9</v>
      </c>
      <c r="L33" s="46">
        <v>0.9</v>
      </c>
      <c r="M33" s="45">
        <v>1</v>
      </c>
      <c r="N33" s="45">
        <v>0.9</v>
      </c>
      <c r="O33" s="45">
        <v>0.9</v>
      </c>
      <c r="P33" s="45">
        <v>1</v>
      </c>
      <c r="Q33" s="81">
        <f t="shared" si="21"/>
        <v>1.1000000000000001</v>
      </c>
      <c r="R33" s="82">
        <f t="shared" si="21"/>
        <v>1</v>
      </c>
      <c r="S33" s="79">
        <f t="shared" si="22"/>
        <v>1</v>
      </c>
      <c r="T33" s="80">
        <f t="shared" si="22"/>
        <v>1.1000000000000001</v>
      </c>
      <c r="U33" s="36" t="s">
        <v>1</v>
      </c>
      <c r="V33" s="17">
        <v>0.02</v>
      </c>
      <c r="W33" s="37">
        <f>+V33*Q33</f>
        <v>2.2000000000000002E-2</v>
      </c>
      <c r="X33" s="32">
        <f>+V33*R33</f>
        <v>0.02</v>
      </c>
      <c r="Y33" s="32">
        <f>+V33*S33</f>
        <v>0.02</v>
      </c>
      <c r="Z33" s="38">
        <f>+V33*T33</f>
        <v>2.2000000000000002E-2</v>
      </c>
      <c r="AA33" s="131"/>
    </row>
    <row r="34" spans="1:27" ht="28.9" customHeight="1">
      <c r="A34" s="140">
        <v>7</v>
      </c>
      <c r="B34" s="143" t="s">
        <v>123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 t="e">
        <f>IF(IF($U34="Maxim.",M34/I34,IF($U34="Minim.",I34/M34,))&gt;=110%,110%,IF(IF($U34="Maxim.",M34/I34,IF($U34="Minim.",I34/M34,))&lt;0%,0%,IF($U34="Maxim.",M34/I34,IF($U34="Minim.",I34/M34,))))</f>
        <v>#DIV/0!</v>
      </c>
      <c r="R34" s="144" t="e">
        <f>IF(IF($U34="Maxim.",N34/J34,IF($U34="Minim.",J34/N34,))&gt;=110%,110%,IF(IF($U34="Maxim.",N34/J34,IF($U34="Minim.",J34/N34,))&lt;0%,0%,IF($U34="Maxim.",N34/J34,IF($U34="Minim.",J34/N34,))))</f>
        <v>#DIV/0!</v>
      </c>
      <c r="S34" s="144" t="e">
        <f>IF(IF($U34="Maxim.",O34/K34,IF($U34="Minim.",K34/O34,))&gt;=110%,110%,IF(IF($U34="Maxim.",O34/K34,IF($U34="Minim.",K34/O34,))&lt;=0%,0%,IF($U34="Maxim.",O34/K34,IF($U34="Minim.",K34/O34,))))</f>
        <v>#DIV/0!</v>
      </c>
      <c r="T34" s="145" t="e">
        <f>IF(IF($U34="Maxim.",P34/L34,IF($U34="Minim.",L34/P34,))&gt;=110%,110%,IF(IF($U34="Maxim.",P34/L34,IF($U34="Minim.",L34/P34,))&lt;=0%,0%,IF($U34="Maxim.",P34/L34,IF($U34="Minim.",L34/P34,))))</f>
        <v>#DIV/0!</v>
      </c>
      <c r="U34" s="111" t="s">
        <v>2</v>
      </c>
      <c r="V34" s="41">
        <f>SUM(V31:V33)</f>
        <v>0.06</v>
      </c>
      <c r="W34" s="41">
        <f>SUM(W31:W33)</f>
        <v>6.2E-2</v>
      </c>
      <c r="X34" s="41">
        <f>SUM(X31:X33)</f>
        <v>0.06</v>
      </c>
      <c r="Y34" s="41">
        <f>SUM(Y31:Y33)</f>
        <v>5.7200000000000001E-2</v>
      </c>
      <c r="Z34" s="41">
        <f>SUM(Z31:Z33)</f>
        <v>6.2E-2</v>
      </c>
    </row>
    <row r="35" spans="1:27" ht="58.5" customHeight="1">
      <c r="A35" s="131"/>
      <c r="B35" s="21" t="s">
        <v>74</v>
      </c>
      <c r="C35" s="29" t="s">
        <v>73</v>
      </c>
      <c r="D35" s="28" t="s">
        <v>162</v>
      </c>
      <c r="E35" s="26" t="s">
        <v>138</v>
      </c>
      <c r="F35" s="31" t="s">
        <v>101</v>
      </c>
      <c r="G35" s="27" t="s">
        <v>109</v>
      </c>
      <c r="H35" s="65">
        <v>0.9</v>
      </c>
      <c r="I35" s="15">
        <v>0.9</v>
      </c>
      <c r="J35" s="46">
        <v>0.9</v>
      </c>
      <c r="K35" s="46">
        <v>0.9</v>
      </c>
      <c r="L35" s="46">
        <v>0.9</v>
      </c>
      <c r="M35" s="46">
        <f>+'[9]CUMP. plan calibracion'!$D$12</f>
        <v>0.69230769230769229</v>
      </c>
      <c r="N35" s="46">
        <f>+'[9]CUMP. plan mantenimiento'!$B$15</f>
        <v>0.125</v>
      </c>
      <c r="O35" s="46">
        <v>1.1599999999999999</v>
      </c>
      <c r="P35" s="45">
        <v>1.19</v>
      </c>
      <c r="Q35" s="81">
        <f t="shared" ref="Q35" si="29">IF(IF($U35="Maxim.",M35/I35,IF($U35="Minim.",I35/M35,))&gt;=110%,110%,IF(IF($U35="Maxim.",M35/I35,IF($U35="Minim.",I35/M35,))&lt;0%,0%,IF($U35="Maxim.",M35/I35,IF($U35="Minim.",I35/M35,))))</f>
        <v>0.76923076923076916</v>
      </c>
      <c r="R35" s="82">
        <f t="shared" ref="R35" si="30">IF(IF($U35="Maxim.",N35/J35,IF($U35="Minim.",J35/N35,))&gt;=110%,110%,IF(IF($U35="Maxim.",N35/J35,IF($U35="Minim.",J35/N35,))&lt;0%,0%,IF($U35="Maxim.",N35/J35,IF($U35="Minim.",J35/N35,))))</f>
        <v>0.1388888888888889</v>
      </c>
      <c r="S35" s="79">
        <f t="shared" ref="S35" si="31">IF(IF($U35="Maxim.",O35/K35,IF($U35="Minim.",K35/O35,))&gt;=110%,110%,IF(IF($U35="Maxim.",O35/K35,IF($U35="Minim.",K35/O35,))&lt;=0%,0%,IF($U35="Maxim.",O35/K35,IF($U35="Minim.",K35/O35,))))</f>
        <v>1.1000000000000001</v>
      </c>
      <c r="T35" s="80">
        <f t="shared" ref="T35" si="32">IF(IF($U35="Maxim.",P35/L35,IF($U35="Minim.",L35/P35,))&gt;=110%,110%,IF(IF($U35="Maxim.",P35/L35,IF($U35="Minim.",L35/P35,))&lt;=0%,0%,IF($U35="Maxim.",P35/L35,IF($U35="Minim.",L35/P35,))))</f>
        <v>1.1000000000000001</v>
      </c>
      <c r="U35" s="36" t="s">
        <v>1</v>
      </c>
      <c r="V35" s="17">
        <v>0.02</v>
      </c>
      <c r="W35" s="37">
        <f>+V35*Q35</f>
        <v>1.5384615384615384E-2</v>
      </c>
      <c r="X35" s="32">
        <f>+V35*R35</f>
        <v>2.7777777777777779E-3</v>
      </c>
      <c r="Y35" s="32">
        <f>+V35*S35</f>
        <v>2.2000000000000002E-2</v>
      </c>
      <c r="Z35" s="38">
        <f>+V35*T35</f>
        <v>2.2000000000000002E-2</v>
      </c>
      <c r="AA35" s="131"/>
    </row>
    <row r="36" spans="1:27" ht="48.75" customHeight="1">
      <c r="A36" s="131"/>
      <c r="B36" s="21" t="s">
        <v>74</v>
      </c>
      <c r="C36" s="93" t="s">
        <v>72</v>
      </c>
      <c r="D36" s="28" t="s">
        <v>163</v>
      </c>
      <c r="E36" s="26" t="s">
        <v>138</v>
      </c>
      <c r="F36" s="31" t="s">
        <v>153</v>
      </c>
      <c r="G36" s="27" t="s">
        <v>109</v>
      </c>
      <c r="H36" s="125">
        <v>45</v>
      </c>
      <c r="I36" s="115">
        <v>45</v>
      </c>
      <c r="J36" s="116">
        <v>45</v>
      </c>
      <c r="K36" s="116">
        <v>45</v>
      </c>
      <c r="L36" s="116">
        <v>45</v>
      </c>
      <c r="M36" s="116">
        <f>+'[9]costo mtto licores'!$B$12</f>
        <v>6.5173137153169804E-3</v>
      </c>
      <c r="N36" s="116">
        <f>+'[9]costo mtto licores'!$B$15</f>
        <v>27.59503659901204</v>
      </c>
      <c r="O36" s="116">
        <v>24</v>
      </c>
      <c r="P36" s="117">
        <v>43</v>
      </c>
      <c r="Q36" s="81">
        <f t="shared" ref="Q36:R38" si="33">IF(IF($U36="Maxim.",M36/I36,IF($U36="Minim.",I36/M36,))&gt;=110%,110%,IF(IF($U36="Maxim.",M36/I36,IF($U36="Minim.",I36/M36,))&lt;0%,0%,IF($U36="Maxim.",M36/I36,IF($U36="Minim.",I36/M36,))))</f>
        <v>1.1000000000000001</v>
      </c>
      <c r="R36" s="82">
        <f t="shared" si="33"/>
        <v>1.1000000000000001</v>
      </c>
      <c r="S36" s="79">
        <f t="shared" ref="S36:T38" si="34">IF(IF($U36="Maxim.",O36/K36,IF($U36="Minim.",K36/O36,))&gt;=110%,110%,IF(IF($U36="Maxim.",O36/K36,IF($U36="Minim.",K36/O36,))&lt;=0%,0%,IF($U36="Maxim.",O36/K36,IF($U36="Minim.",K36/O36,))))</f>
        <v>1.1000000000000001</v>
      </c>
      <c r="T36" s="80">
        <f t="shared" si="34"/>
        <v>1.0465116279069768</v>
      </c>
      <c r="U36" s="36" t="s">
        <v>2</v>
      </c>
      <c r="V36" s="17">
        <v>0.02</v>
      </c>
      <c r="W36" s="37">
        <f>+V36*Q36</f>
        <v>2.2000000000000002E-2</v>
      </c>
      <c r="X36" s="32">
        <f>+V36*R36</f>
        <v>2.2000000000000002E-2</v>
      </c>
      <c r="Y36" s="32">
        <f>+V36*S36</f>
        <v>2.2000000000000002E-2</v>
      </c>
      <c r="Z36" s="38">
        <f>+V36*T36</f>
        <v>2.0930232558139538E-2</v>
      </c>
      <c r="AA36" s="131"/>
    </row>
    <row r="37" spans="1:27" ht="53.25" customHeight="1">
      <c r="A37" s="131"/>
      <c r="B37" s="21" t="s">
        <v>74</v>
      </c>
      <c r="C37" s="93" t="s">
        <v>71</v>
      </c>
      <c r="D37" s="28" t="s">
        <v>164</v>
      </c>
      <c r="E37" s="26" t="s">
        <v>138</v>
      </c>
      <c r="F37" s="31" t="s">
        <v>153</v>
      </c>
      <c r="G37" s="27" t="s">
        <v>109</v>
      </c>
      <c r="H37" s="125">
        <v>45</v>
      </c>
      <c r="I37" s="115">
        <v>45</v>
      </c>
      <c r="J37" s="116">
        <v>45</v>
      </c>
      <c r="K37" s="116">
        <v>45</v>
      </c>
      <c r="L37" s="118">
        <v>45</v>
      </c>
      <c r="M37" s="115">
        <f>+'[9]costo energia'!$B$12</f>
        <v>45.699362402977179</v>
      </c>
      <c r="N37" s="116">
        <f>+'[9]costo energia'!$B$15</f>
        <v>33.259193848204866</v>
      </c>
      <c r="O37" s="116">
        <v>49</v>
      </c>
      <c r="P37" s="117">
        <v>41</v>
      </c>
      <c r="Q37" s="81">
        <f t="shared" si="33"/>
        <v>0.98469645163076458</v>
      </c>
      <c r="R37" s="82">
        <f t="shared" si="33"/>
        <v>1.1000000000000001</v>
      </c>
      <c r="S37" s="79">
        <f t="shared" si="34"/>
        <v>0.91836734693877553</v>
      </c>
      <c r="T37" s="80">
        <f t="shared" si="34"/>
        <v>1.0975609756097562</v>
      </c>
      <c r="U37" s="36" t="s">
        <v>2</v>
      </c>
      <c r="V37" s="45">
        <v>0.02</v>
      </c>
      <c r="W37" s="37">
        <f>+V37*Q37</f>
        <v>1.9693929032615291E-2</v>
      </c>
      <c r="X37" s="32">
        <f>+V37*R37</f>
        <v>2.2000000000000002E-2</v>
      </c>
      <c r="Y37" s="32">
        <f>+V37*S37</f>
        <v>1.8367346938775512E-2</v>
      </c>
      <c r="Z37" s="38">
        <f>+V37*T37</f>
        <v>2.1951219512195124E-2</v>
      </c>
      <c r="AA37" s="131"/>
    </row>
    <row r="38" spans="1:27" ht="28.9" customHeight="1">
      <c r="A38" s="140">
        <v>8</v>
      </c>
      <c r="B38" s="143" t="s">
        <v>124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>
        <f t="shared" si="33"/>
        <v>0</v>
      </c>
      <c r="R38" s="144">
        <f t="shared" si="33"/>
        <v>0</v>
      </c>
      <c r="S38" s="144">
        <f t="shared" si="34"/>
        <v>0</v>
      </c>
      <c r="T38" s="145">
        <f t="shared" si="34"/>
        <v>0</v>
      </c>
      <c r="U38" s="40"/>
      <c r="V38" s="41">
        <f>SUM(V35:V37)</f>
        <v>0.06</v>
      </c>
      <c r="W38" s="41">
        <f>SUM(W35:W37)</f>
        <v>5.7078544417230676E-2</v>
      </c>
      <c r="X38" s="41">
        <f t="shared" ref="X38:Y38" si="35">SUM(X35:X37)</f>
        <v>4.6777777777777779E-2</v>
      </c>
      <c r="Y38" s="41">
        <f t="shared" si="35"/>
        <v>6.236734693877552E-2</v>
      </c>
      <c r="Z38" s="41">
        <f>SUM(Z35:Z37)</f>
        <v>6.4881452070334661E-2</v>
      </c>
    </row>
    <row r="39" spans="1:27" ht="61.9" customHeight="1">
      <c r="A39" s="131"/>
      <c r="B39" s="98" t="s">
        <v>52</v>
      </c>
      <c r="C39" s="26" t="s">
        <v>75</v>
      </c>
      <c r="D39" s="28" t="s">
        <v>165</v>
      </c>
      <c r="E39" s="26" t="s">
        <v>143</v>
      </c>
      <c r="F39" s="31" t="s">
        <v>166</v>
      </c>
      <c r="G39" s="31" t="s">
        <v>106</v>
      </c>
      <c r="H39" s="16">
        <f>+'[3]Gestion Talento Humano'!$G$3</f>
        <v>0.9</v>
      </c>
      <c r="I39" s="46">
        <v>0.9</v>
      </c>
      <c r="J39" s="46">
        <v>0.9</v>
      </c>
      <c r="K39" s="46">
        <v>0.9</v>
      </c>
      <c r="L39" s="46">
        <v>0.9</v>
      </c>
      <c r="M39" s="45">
        <f>+'[3]Gestion Talento Humano'!$S$3</f>
        <v>0.87</v>
      </c>
      <c r="N39" s="45">
        <v>0.87</v>
      </c>
      <c r="O39" s="45">
        <v>1</v>
      </c>
      <c r="P39" s="45">
        <v>1</v>
      </c>
      <c r="Q39" s="33">
        <f t="shared" ref="Q39:R39" si="36">IF(IF($U39="Maxim.",M39/I39,IF($U39="Minim.",I39/M39,))&gt;=110%,110%,IF(IF($U39="Maxim.",M39/I39,IF($U39="Minim.",I39/M39,))&lt;0%,0%,IF($U39="Maxim.",M39/I39,IF($U39="Minim.",I39/M39,))))</f>
        <v>0.96666666666666667</v>
      </c>
      <c r="R39" s="34">
        <f t="shared" si="36"/>
        <v>0.96666666666666667</v>
      </c>
      <c r="S39" s="34">
        <f t="shared" ref="S39:T39" si="37">IF(IF($U39="Maxim.",O39/K39,IF($U39="Minim.",K39/O39,))&gt;=110%,110%,IF(IF($U39="Maxim.",O39/K39,IF($U39="Minim.",K39/O39,))&lt;=0%,0%,IF($U39="Maxim.",O39/K39,IF($U39="Minim.",K39/O39,))))</f>
        <v>1.1000000000000001</v>
      </c>
      <c r="T39" s="35">
        <f t="shared" si="37"/>
        <v>1.1000000000000001</v>
      </c>
      <c r="U39" s="36" t="s">
        <v>1</v>
      </c>
      <c r="V39" s="45">
        <v>1.4999999999999999E-2</v>
      </c>
      <c r="W39" s="37">
        <f>+V39*Q39</f>
        <v>1.4499999999999999E-2</v>
      </c>
      <c r="X39" s="32">
        <f>+V39*R39</f>
        <v>1.4499999999999999E-2</v>
      </c>
      <c r="Y39" s="32">
        <f>+V39*S39</f>
        <v>1.6500000000000001E-2</v>
      </c>
      <c r="Z39" s="38">
        <f>+V39*T39</f>
        <v>1.6500000000000001E-2</v>
      </c>
      <c r="AA39" s="131"/>
    </row>
    <row r="40" spans="1:27" ht="63" customHeight="1">
      <c r="A40" s="131"/>
      <c r="B40" s="98" t="s">
        <v>52</v>
      </c>
      <c r="C40" s="26" t="s">
        <v>199</v>
      </c>
      <c r="D40" s="28" t="s">
        <v>168</v>
      </c>
      <c r="E40" s="26" t="s">
        <v>143</v>
      </c>
      <c r="F40" s="31" t="s">
        <v>166</v>
      </c>
      <c r="G40" s="31" t="s">
        <v>106</v>
      </c>
      <c r="H40" s="16">
        <v>0.9</v>
      </c>
      <c r="I40" s="94">
        <v>1</v>
      </c>
      <c r="J40" s="94">
        <v>1</v>
      </c>
      <c r="K40" s="94">
        <v>1</v>
      </c>
      <c r="L40" s="94">
        <v>1</v>
      </c>
      <c r="M40" s="94">
        <v>0.85</v>
      </c>
      <c r="N40" s="94">
        <v>0.85</v>
      </c>
      <c r="O40" s="94">
        <v>0.67</v>
      </c>
      <c r="P40" s="45">
        <v>1</v>
      </c>
      <c r="Q40" s="33">
        <f t="shared" ref="Q40:Q41" si="38">IF(IF($U40="Maxim.",M40/I40,IF($U40="Minim.",I40/M40,))&gt;=110%,110%,IF(IF($U40="Maxim.",M40/I40,IF($U40="Minim.",I40/M40,))&lt;0%,0%,IF($U40="Maxim.",M40/I40,IF($U40="Minim.",I40/M40,))))</f>
        <v>0.85</v>
      </c>
      <c r="R40" s="34">
        <f t="shared" ref="R40:R41" si="39">IF(IF($U40="Maxim.",N40/J40,IF($U40="Minim.",J40/N40,))&gt;=110%,110%,IF(IF($U40="Maxim.",N40/J40,IF($U40="Minim.",J40/N40,))&lt;0%,0%,IF($U40="Maxim.",N40/J40,IF($U40="Minim.",J40/N40,))))</f>
        <v>0.85</v>
      </c>
      <c r="S40" s="34">
        <f t="shared" ref="S40:S41" si="40">IF(IF($U40="Maxim.",O40/K40,IF($U40="Minim.",K40/O40,))&gt;=110%,110%,IF(IF($U40="Maxim.",O40/K40,IF($U40="Minim.",K40/O40,))&lt;=0%,0%,IF($U40="Maxim.",O40/K40,IF($U40="Minim.",K40/O40,))))</f>
        <v>0.67</v>
      </c>
      <c r="T40" s="35">
        <f t="shared" ref="T40:T41" si="41">IF(IF($U40="Maxim.",P40/L40,IF($U40="Minim.",L40/P40,))&gt;=110%,110%,IF(IF($U40="Maxim.",P40/L40,IF($U40="Minim.",L40/P40,))&lt;=0%,0%,IF($U40="Maxim.",P40/L40,IF($U40="Minim.",L40/P40,))))</f>
        <v>1</v>
      </c>
      <c r="U40" s="95" t="s">
        <v>1</v>
      </c>
      <c r="V40" s="45">
        <v>1.4999999999999999E-2</v>
      </c>
      <c r="W40" s="37">
        <f>+V40*Q40</f>
        <v>1.2749999999999999E-2</v>
      </c>
      <c r="X40" s="32">
        <f>+V40*R40</f>
        <v>1.2749999999999999E-2</v>
      </c>
      <c r="Y40" s="32">
        <f>+V40*S40</f>
        <v>1.005E-2</v>
      </c>
      <c r="Z40" s="38">
        <f>+V40*T40</f>
        <v>1.4999999999999999E-2</v>
      </c>
      <c r="AA40" s="131"/>
    </row>
    <row r="41" spans="1:27" ht="65.45" customHeight="1">
      <c r="A41" s="131"/>
      <c r="B41" s="98" t="s">
        <v>52</v>
      </c>
      <c r="C41" s="26" t="s">
        <v>117</v>
      </c>
      <c r="D41" s="28" t="s">
        <v>169</v>
      </c>
      <c r="E41" s="26" t="s">
        <v>143</v>
      </c>
      <c r="F41" s="31" t="s">
        <v>166</v>
      </c>
      <c r="G41" s="31" t="s">
        <v>106</v>
      </c>
      <c r="H41" s="16">
        <v>1</v>
      </c>
      <c r="I41" s="46">
        <v>1</v>
      </c>
      <c r="J41" s="46">
        <v>1</v>
      </c>
      <c r="K41" s="46">
        <v>1</v>
      </c>
      <c r="L41" s="46">
        <v>1</v>
      </c>
      <c r="M41" s="46">
        <v>1</v>
      </c>
      <c r="N41" s="46">
        <v>1</v>
      </c>
      <c r="O41" s="46">
        <v>1</v>
      </c>
      <c r="P41" s="45">
        <v>1</v>
      </c>
      <c r="Q41" s="33">
        <f t="shared" si="38"/>
        <v>1</v>
      </c>
      <c r="R41" s="34">
        <f t="shared" si="39"/>
        <v>1</v>
      </c>
      <c r="S41" s="34">
        <f t="shared" si="40"/>
        <v>1</v>
      </c>
      <c r="T41" s="35">
        <f t="shared" si="41"/>
        <v>1</v>
      </c>
      <c r="U41" s="95" t="s">
        <v>1</v>
      </c>
      <c r="V41" s="45">
        <v>0.02</v>
      </c>
      <c r="W41" s="37">
        <f>+V41*Q41</f>
        <v>0.02</v>
      </c>
      <c r="X41" s="32">
        <f>+V41*R41</f>
        <v>0.02</v>
      </c>
      <c r="Y41" s="32">
        <f>+V41*S41</f>
        <v>0.02</v>
      </c>
      <c r="Z41" s="38">
        <f>+V41*T41</f>
        <v>0.02</v>
      </c>
      <c r="AA41" s="131"/>
    </row>
    <row r="42" spans="1:27" ht="28.9" customHeight="1">
      <c r="A42" s="140">
        <v>9</v>
      </c>
      <c r="B42" s="143" t="s">
        <v>132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>
        <f>IF(IF($U42="Maxim.",M42/I42,IF($U42="Minim.",I42/M42,))&gt;=110%,110%,IF(IF($U42="Maxim.",M42/I42,IF($U42="Minim.",I42/M42,))&lt;0%,0%,IF($U42="Maxim.",M42/I42,IF($U42="Minim.",I42/M42,))))</f>
        <v>0</v>
      </c>
      <c r="R42" s="144">
        <f>IF(IF($U42="Maxim.",N42/J42,IF($U42="Minim.",J42/N42,))&gt;=110%,110%,IF(IF($U42="Maxim.",N42/J42,IF($U42="Minim.",J42/N42,))&lt;0%,0%,IF($U42="Maxim.",N42/J42,IF($U42="Minim.",J42/N42,))))</f>
        <v>0</v>
      </c>
      <c r="S42" s="144">
        <f>IF(IF($U42="Maxim.",O42/K42,IF($U42="Minim.",K42/O42,))&gt;=110%,110%,IF(IF($U42="Maxim.",O42/K42,IF($U42="Minim.",K42/O42,))&lt;=0%,0%,IF($U42="Maxim.",O42/K42,IF($U42="Minim.",K42/O42,))))</f>
        <v>0</v>
      </c>
      <c r="T42" s="145">
        <f>IF(IF($U42="Maxim.",P42/L42,IF($U42="Minim.",L42/P42,))&gt;=110%,110%,IF(IF($U42="Maxim.",P42/L42,IF($U42="Minim.",L42/P42,))&lt;=0%,0%,IF($U42="Maxim.",P42/L42,IF($U42="Minim.",L42/P42,))))</f>
        <v>0</v>
      </c>
      <c r="U42" s="111"/>
      <c r="V42" s="41">
        <f>SUM(V39:V41)</f>
        <v>0.05</v>
      </c>
      <c r="W42" s="41">
        <f>SUM(W40:W41)</f>
        <v>3.2750000000000001E-2</v>
      </c>
      <c r="X42" s="41">
        <f>SUM(X40:X41)</f>
        <v>3.2750000000000001E-2</v>
      </c>
      <c r="Y42" s="41">
        <f>SUM(Y40:Y41)</f>
        <v>3.005E-2</v>
      </c>
      <c r="Z42" s="41">
        <f>SUM(Z40:Z41)</f>
        <v>3.5000000000000003E-2</v>
      </c>
    </row>
    <row r="43" spans="1:27" ht="99.75">
      <c r="A43" s="131"/>
      <c r="B43" s="21" t="s">
        <v>76</v>
      </c>
      <c r="C43" s="26" t="s">
        <v>80</v>
      </c>
      <c r="D43" s="22" t="s">
        <v>170</v>
      </c>
      <c r="E43" s="26" t="s">
        <v>171</v>
      </c>
      <c r="F43" s="26" t="s">
        <v>101</v>
      </c>
      <c r="G43" s="54" t="s">
        <v>109</v>
      </c>
      <c r="H43" s="16">
        <v>1</v>
      </c>
      <c r="I43" s="15">
        <v>1</v>
      </c>
      <c r="J43" s="46">
        <v>1</v>
      </c>
      <c r="K43" s="46">
        <v>1</v>
      </c>
      <c r="L43" s="46">
        <v>1</v>
      </c>
      <c r="M43" s="46">
        <v>1</v>
      </c>
      <c r="N43" s="46">
        <v>1</v>
      </c>
      <c r="O43" s="46">
        <v>1</v>
      </c>
      <c r="P43" s="45">
        <v>1</v>
      </c>
      <c r="Q43" s="33">
        <f t="shared" ref="Q43:Q46" si="42">IF(IF($U43="Maxim.",M43/I43,IF($U43="Minim.",I43/M43,))&gt;=110%,110%,IF(IF($U43="Maxim.",M43/I43,IF($U43="Minim.",I43/M43,))&lt;0%,0%,IF($U43="Maxim.",M43/I43,IF($U43="Minim.",I43/M43,))))</f>
        <v>1</v>
      </c>
      <c r="R43" s="34">
        <f t="shared" ref="R43:R46" si="43">IF(IF($U43="Maxim.",N43/J43,IF($U43="Minim.",J43/N43,))&gt;=110%,110%,IF(IF($U43="Maxim.",N43/J43,IF($U43="Minim.",J43/N43,))&lt;0%,0%,IF($U43="Maxim.",N43/J43,IF($U43="Minim.",J43/N43,))))</f>
        <v>1</v>
      </c>
      <c r="S43" s="34">
        <f t="shared" ref="S43:S46" si="44">IF(IF($U43="Maxim.",O43/K43,IF($U43="Minim.",K43/O43,))&gt;=110%,110%,IF(IF($U43="Maxim.",O43/K43,IF($U43="Minim.",K43/O43,))&lt;=0%,0%,IF($U43="Maxim.",O43/K43,IF($U43="Minim.",K43/O43,))))</f>
        <v>1</v>
      </c>
      <c r="T43" s="35">
        <f t="shared" ref="T43:T46" si="45">IF(IF($U43="Maxim.",P43/L43,IF($U43="Minim.",L43/P43,))&gt;=110%,110%,IF(IF($U43="Maxim.",P43/L43,IF($U43="Minim.",L43/P43,))&lt;=0%,0%,IF($U43="Maxim.",P43/L43,IF($U43="Minim.",L43/P43,))))</f>
        <v>1</v>
      </c>
      <c r="U43" s="36" t="s">
        <v>1</v>
      </c>
      <c r="V43" s="45">
        <v>1.4999999999999999E-2</v>
      </c>
      <c r="W43" s="37">
        <f>+V43*Q43</f>
        <v>1.4999999999999999E-2</v>
      </c>
      <c r="X43" s="32">
        <f>+V43*R43</f>
        <v>1.4999999999999999E-2</v>
      </c>
      <c r="Y43" s="32">
        <f>+V43*S43</f>
        <v>1.4999999999999999E-2</v>
      </c>
      <c r="Z43" s="38">
        <f>+V43*T43</f>
        <v>1.4999999999999999E-2</v>
      </c>
      <c r="AA43" s="131"/>
    </row>
    <row r="44" spans="1:27" ht="45">
      <c r="A44" s="131"/>
      <c r="B44" s="21" t="s">
        <v>76</v>
      </c>
      <c r="C44" s="39" t="s">
        <v>77</v>
      </c>
      <c r="D44" s="22" t="s">
        <v>172</v>
      </c>
      <c r="E44" s="26" t="s">
        <v>171</v>
      </c>
      <c r="F44" s="26" t="s">
        <v>101</v>
      </c>
      <c r="G44" s="54" t="s">
        <v>109</v>
      </c>
      <c r="H44" s="16">
        <v>1</v>
      </c>
      <c r="I44" s="15">
        <v>1</v>
      </c>
      <c r="J44" s="46">
        <v>1</v>
      </c>
      <c r="K44" s="46">
        <v>1</v>
      </c>
      <c r="L44" s="46">
        <v>1</v>
      </c>
      <c r="M44" s="46">
        <f>+'[10]Calidad MP'!$B$12</f>
        <v>0.94117647058823528</v>
      </c>
      <c r="N44" s="46">
        <f>+'[10]Calidad MP'!$B$15</f>
        <v>0.90909090909090906</v>
      </c>
      <c r="O44" s="46">
        <v>1</v>
      </c>
      <c r="P44" s="45">
        <v>1</v>
      </c>
      <c r="Q44" s="33">
        <f t="shared" si="42"/>
        <v>0.94117647058823528</v>
      </c>
      <c r="R44" s="34">
        <f t="shared" si="43"/>
        <v>0.90909090909090906</v>
      </c>
      <c r="S44" s="34">
        <v>0.97</v>
      </c>
      <c r="T44" s="35">
        <f t="shared" si="45"/>
        <v>1</v>
      </c>
      <c r="U44" s="36" t="s">
        <v>1</v>
      </c>
      <c r="V44" s="45">
        <v>1.4999999999999999E-2</v>
      </c>
      <c r="W44" s="37">
        <f>+V44*Q44</f>
        <v>1.4117647058823528E-2</v>
      </c>
      <c r="X44" s="32">
        <f>+V44*R44</f>
        <v>1.3636363636363636E-2</v>
      </c>
      <c r="Y44" s="32">
        <f>+V44*S44</f>
        <v>1.4549999999999999E-2</v>
      </c>
      <c r="Z44" s="38">
        <f>+V44*T44</f>
        <v>1.4999999999999999E-2</v>
      </c>
      <c r="AA44" s="131"/>
    </row>
    <row r="45" spans="1:27" ht="45">
      <c r="A45" s="131"/>
      <c r="B45" s="21" t="s">
        <v>76</v>
      </c>
      <c r="C45" s="39" t="s">
        <v>78</v>
      </c>
      <c r="D45" s="22" t="s">
        <v>173</v>
      </c>
      <c r="E45" s="26" t="s">
        <v>171</v>
      </c>
      <c r="F45" s="26" t="s">
        <v>101</v>
      </c>
      <c r="G45" s="54" t="s">
        <v>116</v>
      </c>
      <c r="H45" s="16">
        <v>0.9</v>
      </c>
      <c r="I45" s="15">
        <v>0.9</v>
      </c>
      <c r="J45" s="46">
        <v>0.9</v>
      </c>
      <c r="K45" s="46">
        <v>0.9</v>
      </c>
      <c r="L45" s="46">
        <v>0.9</v>
      </c>
      <c r="M45" s="46">
        <v>1</v>
      </c>
      <c r="N45" s="46">
        <v>1</v>
      </c>
      <c r="O45" s="46">
        <v>1</v>
      </c>
      <c r="P45" s="45">
        <v>1</v>
      </c>
      <c r="Q45" s="33">
        <f t="shared" si="42"/>
        <v>1.1000000000000001</v>
      </c>
      <c r="R45" s="34">
        <f t="shared" si="43"/>
        <v>1.1000000000000001</v>
      </c>
      <c r="S45" s="34">
        <v>0.97</v>
      </c>
      <c r="T45" s="35">
        <f t="shared" si="45"/>
        <v>1.1000000000000001</v>
      </c>
      <c r="U45" s="36" t="s">
        <v>1</v>
      </c>
      <c r="V45" s="45">
        <v>1.4999999999999999E-2</v>
      </c>
      <c r="W45" s="37">
        <f>+V45*Q45</f>
        <v>1.6500000000000001E-2</v>
      </c>
      <c r="X45" s="32">
        <f>+V45*R45</f>
        <v>1.6500000000000001E-2</v>
      </c>
      <c r="Y45" s="32">
        <f>+V45*S45</f>
        <v>1.4549999999999999E-2</v>
      </c>
      <c r="Z45" s="38">
        <f>+V45*T45</f>
        <v>1.6500000000000001E-2</v>
      </c>
      <c r="AA45" s="131"/>
    </row>
    <row r="46" spans="1:27" ht="45">
      <c r="A46" s="131"/>
      <c r="B46" s="21" t="s">
        <v>76</v>
      </c>
      <c r="C46" s="39" t="s">
        <v>79</v>
      </c>
      <c r="D46" s="22" t="s">
        <v>174</v>
      </c>
      <c r="E46" s="26" t="s">
        <v>171</v>
      </c>
      <c r="F46" s="26" t="s">
        <v>101</v>
      </c>
      <c r="G46" s="54" t="s">
        <v>109</v>
      </c>
      <c r="H46" s="16">
        <v>1</v>
      </c>
      <c r="I46" s="15">
        <v>1</v>
      </c>
      <c r="J46" s="46">
        <v>1</v>
      </c>
      <c r="K46" s="46">
        <v>1</v>
      </c>
      <c r="L46" s="46">
        <v>1</v>
      </c>
      <c r="M46" s="46">
        <v>1</v>
      </c>
      <c r="N46" s="46">
        <v>1</v>
      </c>
      <c r="O46" s="46">
        <v>1</v>
      </c>
      <c r="P46" s="45">
        <v>1</v>
      </c>
      <c r="Q46" s="33">
        <f t="shared" si="42"/>
        <v>1</v>
      </c>
      <c r="R46" s="34">
        <f t="shared" si="43"/>
        <v>1</v>
      </c>
      <c r="S46" s="34">
        <f t="shared" si="44"/>
        <v>1</v>
      </c>
      <c r="T46" s="35">
        <f t="shared" si="45"/>
        <v>1</v>
      </c>
      <c r="U46" s="36" t="s">
        <v>1</v>
      </c>
      <c r="V46" s="45">
        <v>1.4999999999999999E-2</v>
      </c>
      <c r="W46" s="37">
        <f>+V46*Q46</f>
        <v>1.4999999999999999E-2</v>
      </c>
      <c r="X46" s="32">
        <f>+V46*R46</f>
        <v>1.4999999999999999E-2</v>
      </c>
      <c r="Y46" s="32">
        <f>+V46*S46</f>
        <v>1.4999999999999999E-2</v>
      </c>
      <c r="Z46" s="38">
        <f>+V46*T46</f>
        <v>1.4999999999999999E-2</v>
      </c>
      <c r="AA46" s="131"/>
    </row>
    <row r="47" spans="1:27" ht="28.9" customHeight="1">
      <c r="A47" s="140"/>
      <c r="B47" s="143" t="s">
        <v>125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>
        <f>IF(IF($U47="Maxim.",M47/I47,IF($U47="Minim.",I47/M47,))&gt;=110%,110%,IF(IF($U47="Maxim.",M47/I47,IF($U47="Minim.",I47/M47,))&lt;0%,0%,IF($U47="Maxim.",M47/I47,IF($U47="Minim.",I47/M47,))))</f>
        <v>0</v>
      </c>
      <c r="R47" s="144">
        <f>IF(IF($U47="Maxim.",N47/J47,IF($U47="Minim.",J47/N47,))&gt;=110%,110%,IF(IF($U47="Maxim.",N47/J47,IF($U47="Minim.",J47/N47,))&lt;0%,0%,IF($U47="Maxim.",N47/J47,IF($U47="Minim.",J47/N47,))))</f>
        <v>0</v>
      </c>
      <c r="S47" s="144">
        <f>IF(IF($U47="Maxim.",O47/K47,IF($U47="Minim.",K47/O47,))&gt;=110%,110%,IF(IF($U47="Maxim.",O47/K47,IF($U47="Minim.",K47/O47,))&lt;=0%,0%,IF($U47="Maxim.",O47/K47,IF($U47="Minim.",K47/O47,))))</f>
        <v>0</v>
      </c>
      <c r="T47" s="145">
        <f>IF(IF($U47="Maxim.",P47/L47,IF($U47="Minim.",L47/P47,))&gt;=110%,110%,IF(IF($U47="Maxim.",P47/L47,IF($U47="Minim.",L47/P47,))&lt;=0%,0%,IF($U47="Maxim.",P47/L47,IF($U47="Minim.",L47/P47,))))</f>
        <v>0</v>
      </c>
      <c r="U47" s="40"/>
      <c r="V47" s="41">
        <f>SUM(V43:V46)</f>
        <v>0.06</v>
      </c>
      <c r="W47" s="41">
        <f>SUM(W43:W46)</f>
        <v>6.0617647058823526E-2</v>
      </c>
      <c r="X47" s="41">
        <f t="shared" ref="X47:Z47" si="46">SUM(X43:X46)</f>
        <v>6.0136363636363634E-2</v>
      </c>
      <c r="Y47" s="41">
        <f t="shared" si="46"/>
        <v>5.91E-2</v>
      </c>
      <c r="Z47" s="41">
        <f t="shared" si="46"/>
        <v>6.1499999999999999E-2</v>
      </c>
    </row>
    <row r="48" spans="1:27" ht="55.15" customHeight="1">
      <c r="A48" s="131"/>
      <c r="B48" s="21" t="s">
        <v>53</v>
      </c>
      <c r="C48" s="39" t="s">
        <v>82</v>
      </c>
      <c r="D48" s="28" t="s">
        <v>175</v>
      </c>
      <c r="E48" s="26" t="s">
        <v>143</v>
      </c>
      <c r="F48" s="31" t="s">
        <v>101</v>
      </c>
      <c r="G48" s="27" t="s">
        <v>109</v>
      </c>
      <c r="H48" s="16">
        <v>0.9</v>
      </c>
      <c r="I48" s="15">
        <v>0.9</v>
      </c>
      <c r="J48" s="46">
        <v>0.9</v>
      </c>
      <c r="K48" s="46">
        <v>0.9</v>
      </c>
      <c r="L48" s="46">
        <v>0.9</v>
      </c>
      <c r="M48" s="46">
        <v>1</v>
      </c>
      <c r="N48" s="46">
        <v>1</v>
      </c>
      <c r="O48" s="46">
        <v>1</v>
      </c>
      <c r="P48" s="45">
        <v>1</v>
      </c>
      <c r="Q48" s="81">
        <f t="shared" ref="Q48:Q58" si="47">IF(IF($U48="Maxim.",M48/I48,IF($U48="Minim.",I48/M48,))&gt;=110%,110%,IF(IF($U48="Maxim.",M48/I48,IF($U48="Minim.",I48/M48,))&lt;0%,0%,IF($U48="Maxim.",M48/I48,IF($U48="Minim.",I48/M48,))))</f>
        <v>1.1000000000000001</v>
      </c>
      <c r="R48" s="82">
        <f t="shared" ref="R48:R59" si="48">IF(IF($U48="Maxim.",N48/J48,IF($U48="Minim.",J48/N48,))&gt;=110%,110%,IF(IF($U48="Maxim.",N48/J48,IF($U48="Minim.",J48/N48,))&lt;0%,0%,IF($U48="Maxim.",N48/J48,IF($U48="Minim.",J48/N48,))))</f>
        <v>1.1000000000000001</v>
      </c>
      <c r="S48" s="79">
        <f t="shared" ref="S48:S59" si="49">IF(IF($U48="Maxim.",O48/K48,IF($U48="Minim.",K48/O48,))&gt;=110%,110%,IF(IF($U48="Maxim.",O48/K48,IF($U48="Minim.",K48/O48,))&lt;=0%,0%,IF($U48="Maxim.",O48/K48,IF($U48="Minim.",K48/O48,))))</f>
        <v>1.1000000000000001</v>
      </c>
      <c r="T48" s="80">
        <f t="shared" ref="T48:T59" si="50">IF(IF($U48="Maxim.",P48/L48,IF($U48="Minim.",L48/P48,))&gt;=110%,110%,IF(IF($U48="Maxim.",P48/L48,IF($U48="Minim.",L48/P48,))&lt;=0%,0%,IF($U48="Maxim.",P48/L48,IF($U48="Minim.",L48/P48,))))</f>
        <v>1.1000000000000001</v>
      </c>
      <c r="U48" s="36" t="s">
        <v>1</v>
      </c>
      <c r="V48" s="17">
        <v>0.02</v>
      </c>
      <c r="W48" s="110">
        <f>+V48*Q48</f>
        <v>2.2000000000000002E-2</v>
      </c>
      <c r="X48" s="32">
        <f>+V48*R48</f>
        <v>2.2000000000000002E-2</v>
      </c>
      <c r="Y48" s="32">
        <f>+V48*S48</f>
        <v>2.2000000000000002E-2</v>
      </c>
      <c r="Z48" s="38">
        <f>+V48*T48</f>
        <v>2.2000000000000002E-2</v>
      </c>
      <c r="AA48" s="131"/>
    </row>
    <row r="49" spans="1:27" ht="47.45" customHeight="1">
      <c r="A49" s="131"/>
      <c r="B49" s="21" t="s">
        <v>53</v>
      </c>
      <c r="C49" s="39" t="s">
        <v>81</v>
      </c>
      <c r="D49" s="28" t="s">
        <v>176</v>
      </c>
      <c r="E49" s="26" t="s">
        <v>143</v>
      </c>
      <c r="F49" s="31" t="s">
        <v>101</v>
      </c>
      <c r="G49" s="27" t="s">
        <v>106</v>
      </c>
      <c r="H49" s="16">
        <v>0.9</v>
      </c>
      <c r="I49" s="15">
        <v>0.9</v>
      </c>
      <c r="J49" s="46">
        <v>0.9</v>
      </c>
      <c r="K49" s="46">
        <v>0.9</v>
      </c>
      <c r="L49" s="46">
        <v>0.9</v>
      </c>
      <c r="M49" s="141">
        <f>+[11]Satisfaccion!$C$12</f>
        <v>1</v>
      </c>
      <c r="N49" s="46">
        <f>+'[11]Servicio Sistemas'!$C$15</f>
        <v>1</v>
      </c>
      <c r="O49" s="46">
        <v>1</v>
      </c>
      <c r="P49" s="45">
        <v>1</v>
      </c>
      <c r="Q49" s="81">
        <f t="shared" si="47"/>
        <v>1.1000000000000001</v>
      </c>
      <c r="R49" s="82">
        <f t="shared" si="48"/>
        <v>1.1000000000000001</v>
      </c>
      <c r="S49" s="79">
        <f t="shared" si="49"/>
        <v>1.1000000000000001</v>
      </c>
      <c r="T49" s="80">
        <f t="shared" si="50"/>
        <v>1.1000000000000001</v>
      </c>
      <c r="U49" s="36" t="s">
        <v>1</v>
      </c>
      <c r="V49" s="17">
        <v>0.02</v>
      </c>
      <c r="W49" s="37">
        <f>+V49*Q49</f>
        <v>2.2000000000000002E-2</v>
      </c>
      <c r="X49" s="32">
        <f>+V49*R49</f>
        <v>2.2000000000000002E-2</v>
      </c>
      <c r="Y49" s="32">
        <f>+V49*S49</f>
        <v>2.2000000000000002E-2</v>
      </c>
      <c r="Z49" s="38">
        <f>+V49*T49</f>
        <v>2.2000000000000002E-2</v>
      </c>
      <c r="AA49" s="131"/>
    </row>
    <row r="50" spans="1:27" ht="28.9" customHeight="1">
      <c r="A50" s="140">
        <v>11</v>
      </c>
      <c r="B50" s="143" t="s">
        <v>126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 t="e">
        <f>IF(IF($U50="Maxim.",M50/I50,IF($U50="Minim.",I50/M50,))&gt;=110%,110%,IF(IF($U50="Maxim.",M50/I50,IF($U50="Minim.",I50/M50,))&lt;0%,0%,IF($U50="Maxim.",M50/I50,IF($U50="Minim.",I50/M50,))))</f>
        <v>#DIV/0!</v>
      </c>
      <c r="R50" s="144" t="e">
        <f>IF(IF($U50="Maxim.",N50/J50,IF($U50="Minim.",J50/N50,))&gt;=110%,110%,IF(IF($U50="Maxim.",N50/J50,IF($U50="Minim.",J50/N50,))&lt;0%,0%,IF($U50="Maxim.",N50/J50,IF($U50="Minim.",J50/N50,))))</f>
        <v>#DIV/0!</v>
      </c>
      <c r="S50" s="144" t="e">
        <f>IF(IF($U50="Maxim.",O50/K50,IF($U50="Minim.",K50/O50,))&gt;=110%,110%,IF(IF($U50="Maxim.",O50/K50,IF($U50="Minim.",K50/O50,))&lt;=0%,0%,IF($U50="Maxim.",O50/K50,IF($U50="Minim.",K50/O50,))))</f>
        <v>#DIV/0!</v>
      </c>
      <c r="T50" s="145" t="e">
        <f>IF(IF($U50="Maxim.",P50/L50,IF($U50="Minim.",L50/P50,))&gt;=110%,110%,IF(IF($U50="Maxim.",P50/L50,IF($U50="Minim.",L50/P50,))&lt;=0%,0%,IF($U50="Maxim.",P50/L50,IF($U50="Minim.",L50/P50,))))</f>
        <v>#DIV/0!</v>
      </c>
      <c r="U50" s="40" t="s">
        <v>1</v>
      </c>
      <c r="V50" s="41">
        <f>SUM(V48:V49)</f>
        <v>0.04</v>
      </c>
      <c r="W50" s="42">
        <f>SUM(W48:W49)</f>
        <v>4.4000000000000004E-2</v>
      </c>
      <c r="X50" s="43">
        <f>SUM(X48:X49)</f>
        <v>4.4000000000000004E-2</v>
      </c>
      <c r="Y50" s="43">
        <f>SUM(Y48:Y49)</f>
        <v>4.4000000000000004E-2</v>
      </c>
      <c r="Z50" s="44">
        <f>SUM(Z48:Z49)</f>
        <v>4.4000000000000004E-2</v>
      </c>
    </row>
    <row r="51" spans="1:27" ht="45" customHeight="1">
      <c r="A51" s="131"/>
      <c r="B51" s="21" t="s">
        <v>87</v>
      </c>
      <c r="C51" s="39" t="s">
        <v>85</v>
      </c>
      <c r="D51" s="28" t="s">
        <v>177</v>
      </c>
      <c r="E51" s="26" t="s">
        <v>143</v>
      </c>
      <c r="F51" s="31" t="s">
        <v>101</v>
      </c>
      <c r="G51" s="27" t="s">
        <v>116</v>
      </c>
      <c r="H51" s="16">
        <v>1</v>
      </c>
      <c r="I51" s="15">
        <v>1</v>
      </c>
      <c r="J51" s="46">
        <v>1</v>
      </c>
      <c r="K51" s="46">
        <v>1</v>
      </c>
      <c r="L51" s="46">
        <v>1</v>
      </c>
      <c r="M51" s="46">
        <f>+'[12]CONF PROV'!$B$15</f>
        <v>0.82</v>
      </c>
      <c r="N51" s="46">
        <f>+'[12]CONF PROV'!$B$15</f>
        <v>0.82</v>
      </c>
      <c r="O51" s="46">
        <v>0.82</v>
      </c>
      <c r="P51" s="45">
        <v>0.80300000000000005</v>
      </c>
      <c r="Q51" s="81">
        <f t="shared" si="47"/>
        <v>0.82</v>
      </c>
      <c r="R51" s="82">
        <f t="shared" si="48"/>
        <v>0.82</v>
      </c>
      <c r="S51" s="79">
        <f t="shared" si="49"/>
        <v>0.82</v>
      </c>
      <c r="T51" s="80">
        <f t="shared" si="50"/>
        <v>0.80300000000000005</v>
      </c>
      <c r="U51" s="36" t="s">
        <v>1</v>
      </c>
      <c r="V51" s="45">
        <v>0.02</v>
      </c>
      <c r="W51" s="37">
        <f>+V51*Q51</f>
        <v>1.6399999999999998E-2</v>
      </c>
      <c r="X51" s="32">
        <f>+V51*R51</f>
        <v>1.6399999999999998E-2</v>
      </c>
      <c r="Y51" s="32">
        <f>+V51*S51</f>
        <v>1.6399999999999998E-2</v>
      </c>
      <c r="Z51" s="38">
        <f>+V51*T51</f>
        <v>1.6060000000000001E-2</v>
      </c>
      <c r="AA51" s="131"/>
    </row>
    <row r="52" spans="1:27" ht="60" customHeight="1">
      <c r="A52" s="131"/>
      <c r="B52" s="21" t="s">
        <v>87</v>
      </c>
      <c r="C52" s="39" t="s">
        <v>84</v>
      </c>
      <c r="D52" s="28" t="s">
        <v>178</v>
      </c>
      <c r="E52" s="26" t="s">
        <v>143</v>
      </c>
      <c r="F52" s="31" t="s">
        <v>101</v>
      </c>
      <c r="G52" s="27" t="s">
        <v>116</v>
      </c>
      <c r="H52" s="16">
        <v>1</v>
      </c>
      <c r="I52" s="15">
        <v>1</v>
      </c>
      <c r="J52" s="46">
        <v>1</v>
      </c>
      <c r="K52" s="46">
        <v>1</v>
      </c>
      <c r="L52" s="46">
        <v>1</v>
      </c>
      <c r="M52" s="46">
        <f>+'[12]IND CALIDAD'!$B$15</f>
        <v>1</v>
      </c>
      <c r="N52" s="46">
        <v>1</v>
      </c>
      <c r="O52" s="46">
        <v>1</v>
      </c>
      <c r="P52" s="45">
        <v>1</v>
      </c>
      <c r="Q52" s="81">
        <f t="shared" si="47"/>
        <v>1</v>
      </c>
      <c r="R52" s="82">
        <f t="shared" si="48"/>
        <v>1</v>
      </c>
      <c r="S52" s="79">
        <f t="shared" si="49"/>
        <v>1</v>
      </c>
      <c r="T52" s="80">
        <f t="shared" si="50"/>
        <v>1</v>
      </c>
      <c r="U52" s="36" t="s">
        <v>1</v>
      </c>
      <c r="V52" s="17">
        <v>0.02</v>
      </c>
      <c r="W52" s="37">
        <f>+V52*Q52</f>
        <v>0.02</v>
      </c>
      <c r="X52" s="32">
        <f>+V52*R52</f>
        <v>0.02</v>
      </c>
      <c r="Y52" s="32">
        <f>+V52*S52</f>
        <v>0.02</v>
      </c>
      <c r="Z52" s="38">
        <f>+V52*T52</f>
        <v>0.02</v>
      </c>
      <c r="AA52" s="131"/>
    </row>
    <row r="53" spans="1:27" ht="65.25" customHeight="1">
      <c r="A53" s="131"/>
      <c r="B53" s="21" t="s">
        <v>87</v>
      </c>
      <c r="C53" s="39" t="s">
        <v>86</v>
      </c>
      <c r="D53" s="28" t="s">
        <v>179</v>
      </c>
      <c r="E53" s="26" t="s">
        <v>143</v>
      </c>
      <c r="F53" s="31" t="s">
        <v>101</v>
      </c>
      <c r="G53" s="27" t="s">
        <v>116</v>
      </c>
      <c r="H53" s="16">
        <v>1</v>
      </c>
      <c r="I53" s="15">
        <v>1</v>
      </c>
      <c r="J53" s="46">
        <v>1</v>
      </c>
      <c r="K53" s="46">
        <v>1</v>
      </c>
      <c r="L53" s="46">
        <v>1</v>
      </c>
      <c r="M53" s="46">
        <f>+'[12]DEV ordenes'!$B$15</f>
        <v>0.95</v>
      </c>
      <c r="N53" s="46">
        <f>+M53</f>
        <v>0.95</v>
      </c>
      <c r="O53" s="46">
        <v>0.67</v>
      </c>
      <c r="P53" s="45">
        <v>0.67</v>
      </c>
      <c r="Q53" s="81">
        <f t="shared" ref="Q53" si="51">IF(IF($U53="Maxim.",M53/I53,IF($U53="Minim.",I53/M53,))&gt;=110%,110%,IF(IF($U53="Maxim.",M53/I53,IF($U53="Minim.",I53/M53,))&lt;0%,0%,IF($U53="Maxim.",M53/I53,IF($U53="Minim.",I53/M53,))))</f>
        <v>0.95</v>
      </c>
      <c r="R53" s="81">
        <f t="shared" si="48"/>
        <v>0.95</v>
      </c>
      <c r="S53" s="81">
        <f t="shared" ref="S53" si="52">IF(IF($U53="Maxim.",O53/K53,IF($U53="Minim.",K53/O53,))&gt;=110%,110%,IF(IF($U53="Maxim.",O53/K53,IF($U53="Minim.",K53/O53,))&lt;0%,0%,IF($U53="Maxim.",O53/K53,IF($U53="Minim.",K53/O53,))))</f>
        <v>0.67</v>
      </c>
      <c r="T53" s="81">
        <f t="shared" ref="T53" si="53">IF(IF($U53="Maxim.",P53/L53,IF($U53="Minim.",L53/P53,))&gt;=110%,110%,IF(IF($U53="Maxim.",P53/L53,IF($U53="Minim.",L53/P53,))&lt;0%,0%,IF($U53="Maxim.",P53/L53,IF($U53="Minim.",L53/P53,))))</f>
        <v>0.67</v>
      </c>
      <c r="U53" s="36" t="s">
        <v>1</v>
      </c>
      <c r="V53" s="45">
        <v>0.02</v>
      </c>
      <c r="W53" s="37">
        <f>+V53*Q53</f>
        <v>1.9E-2</v>
      </c>
      <c r="X53" s="32">
        <f>+V53*R53</f>
        <v>1.9E-2</v>
      </c>
      <c r="Y53" s="32">
        <f>+V53*S53</f>
        <v>1.34E-2</v>
      </c>
      <c r="Z53" s="38">
        <f>+V53*T53</f>
        <v>1.34E-2</v>
      </c>
      <c r="AA53" s="131"/>
    </row>
    <row r="54" spans="1:27" ht="28.9" customHeight="1">
      <c r="A54" s="140">
        <v>12</v>
      </c>
      <c r="B54" s="143" t="s">
        <v>127</v>
      </c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 t="e">
        <f>IF(IF($U54="Maxim.",M54/I54,IF($U54="Minim.",I54/M54,))&gt;=110%,110%,IF(IF($U54="Maxim.",M54/I54,IF($U54="Minim.",I54/M54,))&lt;0%,0%,IF($U54="Maxim.",M54/I54,IF($U54="Minim.",I54/M54,))))</f>
        <v>#DIV/0!</v>
      </c>
      <c r="R54" s="144" t="e">
        <f>IF(IF($U54="Maxim.",N54/J54,IF($U54="Minim.",J54/N54,))&gt;=110%,110%,IF(IF($U54="Maxim.",N54/J54,IF($U54="Minim.",J54/N54,))&lt;0%,0%,IF($U54="Maxim.",N54/J54,IF($U54="Minim.",J54/N54,))))</f>
        <v>#DIV/0!</v>
      </c>
      <c r="S54" s="144" t="e">
        <f>IF(IF($U54="Maxim.",O54/K54,IF($U54="Minim.",K54/O54,))&gt;=110%,110%,IF(IF($U54="Maxim.",O54/K54,IF($U54="Minim.",K54/O54,))&lt;=0%,0%,IF($U54="Maxim.",O54/K54,IF($U54="Minim.",K54/O54,))))</f>
        <v>#DIV/0!</v>
      </c>
      <c r="T54" s="145" t="e">
        <f>IF(IF($U54="Maxim.",P54/L54,IF($U54="Minim.",L54/P54,))&gt;=110%,110%,IF(IF($U54="Maxim.",P54/L54,IF($U54="Minim.",L54/P54,))&lt;=0%,0%,IF($U54="Maxim.",P54/L54,IF($U54="Minim.",L54/P54,))))</f>
        <v>#DIV/0!</v>
      </c>
      <c r="U54" s="40" t="s">
        <v>1</v>
      </c>
      <c r="V54" s="41">
        <f>SUM(V51:V53)</f>
        <v>0.06</v>
      </c>
      <c r="W54" s="41">
        <f>SUM(W51:W53)</f>
        <v>5.5400000000000005E-2</v>
      </c>
      <c r="X54" s="41">
        <f t="shared" ref="X54:Z54" si="54">SUM(X51:X53)</f>
        <v>5.5400000000000005E-2</v>
      </c>
      <c r="Y54" s="41">
        <f t="shared" si="54"/>
        <v>4.9800000000000004E-2</v>
      </c>
      <c r="Z54" s="41">
        <f t="shared" si="54"/>
        <v>4.9460000000000004E-2</v>
      </c>
    </row>
    <row r="55" spans="1:27" ht="52.5" customHeight="1">
      <c r="A55" s="131"/>
      <c r="B55" s="21" t="s">
        <v>90</v>
      </c>
      <c r="C55" s="39" t="s">
        <v>89</v>
      </c>
      <c r="D55" s="22" t="s">
        <v>180</v>
      </c>
      <c r="E55" s="26" t="s">
        <v>146</v>
      </c>
      <c r="F55" s="31" t="s">
        <v>101</v>
      </c>
      <c r="G55" s="27" t="s">
        <v>106</v>
      </c>
      <c r="H55" s="16">
        <v>1</v>
      </c>
      <c r="I55" s="46">
        <v>1</v>
      </c>
      <c r="J55" s="46">
        <v>1</v>
      </c>
      <c r="K55" s="46">
        <v>1</v>
      </c>
      <c r="L55" s="46">
        <v>1</v>
      </c>
      <c r="M55" s="45">
        <f>+[13]INDICADOR!$B$28</f>
        <v>0.91</v>
      </c>
      <c r="N55" s="45">
        <v>0.62</v>
      </c>
      <c r="O55" s="45">
        <v>0.82</v>
      </c>
      <c r="P55" s="45">
        <v>0.82</v>
      </c>
      <c r="Q55" s="81">
        <f>+[13]INDICADOR!$B$28</f>
        <v>0.91</v>
      </c>
      <c r="R55" s="82">
        <f>+Q55</f>
        <v>0.91</v>
      </c>
      <c r="S55" s="79">
        <f t="shared" si="49"/>
        <v>0.82</v>
      </c>
      <c r="T55" s="80">
        <f t="shared" si="50"/>
        <v>0.82</v>
      </c>
      <c r="U55" s="36" t="s">
        <v>1</v>
      </c>
      <c r="V55" s="17">
        <v>0.02</v>
      </c>
      <c r="W55" s="37">
        <f>+V55*Q55</f>
        <v>1.8200000000000001E-2</v>
      </c>
      <c r="X55" s="32">
        <f>+V55*R55</f>
        <v>1.8200000000000001E-2</v>
      </c>
      <c r="Y55" s="32">
        <f>+V55*S55</f>
        <v>1.6399999999999998E-2</v>
      </c>
      <c r="Z55" s="38">
        <f>+V55*T55</f>
        <v>1.6399999999999998E-2</v>
      </c>
      <c r="AA55" s="131"/>
    </row>
    <row r="56" spans="1:27" ht="56.25" customHeight="1">
      <c r="A56" s="131"/>
      <c r="B56" s="21" t="s">
        <v>90</v>
      </c>
      <c r="C56" s="39" t="s">
        <v>88</v>
      </c>
      <c r="D56" s="22" t="s">
        <v>181</v>
      </c>
      <c r="E56" s="26" t="s">
        <v>146</v>
      </c>
      <c r="F56" s="31" t="s">
        <v>101</v>
      </c>
      <c r="G56" s="27" t="s">
        <v>106</v>
      </c>
      <c r="H56" s="16">
        <v>1</v>
      </c>
      <c r="I56" s="46">
        <v>1</v>
      </c>
      <c r="J56" s="46">
        <v>1</v>
      </c>
      <c r="K56" s="46">
        <v>1</v>
      </c>
      <c r="L56" s="46">
        <v>1</v>
      </c>
      <c r="M56" s="45">
        <v>0.78</v>
      </c>
      <c r="N56" s="45">
        <v>0.78</v>
      </c>
      <c r="O56" s="45">
        <v>1</v>
      </c>
      <c r="P56" s="45">
        <v>1</v>
      </c>
      <c r="Q56" s="81">
        <f>+'[14]VENTANILLA UNICA SATIS.'!$B$21</f>
        <v>0.78</v>
      </c>
      <c r="R56" s="82">
        <f>+'[14]VENTANILLA UNICA SATIS.'!$B$21</f>
        <v>0.78</v>
      </c>
      <c r="S56" s="79">
        <f t="shared" si="49"/>
        <v>1</v>
      </c>
      <c r="T56" s="80">
        <f t="shared" si="50"/>
        <v>1</v>
      </c>
      <c r="U56" s="36" t="s">
        <v>1</v>
      </c>
      <c r="V56" s="17">
        <v>0.02</v>
      </c>
      <c r="W56" s="37">
        <f>+V56*Q56</f>
        <v>1.5600000000000001E-2</v>
      </c>
      <c r="X56" s="32">
        <f>+V56*R56</f>
        <v>1.5600000000000001E-2</v>
      </c>
      <c r="Y56" s="32">
        <f>+V56*S56</f>
        <v>0.02</v>
      </c>
      <c r="Z56" s="38">
        <f>+V56*T56</f>
        <v>0.02</v>
      </c>
      <c r="AA56" s="131"/>
    </row>
    <row r="57" spans="1:27" ht="28.9" customHeight="1">
      <c r="A57" s="140">
        <v>13</v>
      </c>
      <c r="B57" s="143" t="s">
        <v>128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 t="e">
        <f>IF(IF($U57="Maxim.",M57/I57,IF($U57="Minim.",I57/M57,))&gt;=110%,110%,IF(IF($U57="Maxim.",M57/I57,IF($U57="Minim.",I57/M57,))&lt;0%,0%,IF($U57="Maxim.",M57/I57,IF($U57="Minim.",I57/M57,))))</f>
        <v>#DIV/0!</v>
      </c>
      <c r="R57" s="144" t="e">
        <f>IF(IF($U57="Maxim.",N57/J57,IF($U57="Minim.",J57/N57,))&gt;=110%,110%,IF(IF($U57="Maxim.",N57/J57,IF($U57="Minim.",J57/N57,))&lt;0%,0%,IF($U57="Maxim.",N57/J57,IF($U57="Minim.",J57/N57,))))</f>
        <v>#DIV/0!</v>
      </c>
      <c r="S57" s="144" t="e">
        <f>IF(IF($U57="Maxim.",O57/K57,IF($U57="Minim.",K57/O57,))&gt;=110%,110%,IF(IF($U57="Maxim.",O57/K57,IF($U57="Minim.",K57/O57,))&lt;=0%,0%,IF($U57="Maxim.",O57/K57,IF($U57="Minim.",K57/O57,))))</f>
        <v>#DIV/0!</v>
      </c>
      <c r="T57" s="145" t="e">
        <f>IF(IF($U57="Maxim.",P57/L57,IF($U57="Minim.",L57/P57,))&gt;=110%,110%,IF(IF($U57="Maxim.",P57/L57,IF($U57="Minim.",L57/P57,))&lt;=0%,0%,IF($U57="Maxim.",P57/L57,IF($U57="Minim.",L57/P57,))))</f>
        <v>#DIV/0!</v>
      </c>
      <c r="U57" s="40" t="s">
        <v>1</v>
      </c>
      <c r="V57" s="41">
        <f>SUM(V55:V56)</f>
        <v>0.04</v>
      </c>
      <c r="W57" s="41">
        <f>SUM(W55:W56)</f>
        <v>3.3800000000000004E-2</v>
      </c>
      <c r="X57" s="41">
        <f>SUM(X55:X56)</f>
        <v>3.3800000000000004E-2</v>
      </c>
      <c r="Y57" s="41">
        <f>SUM(Y55:Y56)</f>
        <v>3.6400000000000002E-2</v>
      </c>
      <c r="Z57" s="41">
        <f>SUM(Z55:Z56)</f>
        <v>3.6400000000000002E-2</v>
      </c>
    </row>
    <row r="58" spans="1:27" ht="52.9" customHeight="1">
      <c r="A58" s="131"/>
      <c r="B58" s="21" t="s">
        <v>94</v>
      </c>
      <c r="C58" s="39" t="s">
        <v>93</v>
      </c>
      <c r="D58" s="22" t="s">
        <v>185</v>
      </c>
      <c r="E58" s="26" t="s">
        <v>182</v>
      </c>
      <c r="F58" s="31" t="s">
        <v>101</v>
      </c>
      <c r="G58" s="27" t="s">
        <v>183</v>
      </c>
      <c r="H58" s="16">
        <v>1</v>
      </c>
      <c r="I58" s="15">
        <v>1</v>
      </c>
      <c r="J58" s="46">
        <v>1</v>
      </c>
      <c r="K58" s="46">
        <v>1</v>
      </c>
      <c r="L58" s="46">
        <v>1</v>
      </c>
      <c r="M58" s="46">
        <f>+'[15]Plan anual'!$B$13</f>
        <v>0.83</v>
      </c>
      <c r="N58" s="46">
        <v>0.68</v>
      </c>
      <c r="O58" s="46">
        <v>0.98</v>
      </c>
      <c r="P58" s="45">
        <v>0.98</v>
      </c>
      <c r="Q58" s="81">
        <f t="shared" si="47"/>
        <v>0.83</v>
      </c>
      <c r="R58" s="81">
        <f>+Q58</f>
        <v>0.83</v>
      </c>
      <c r="S58" s="79">
        <f t="shared" si="49"/>
        <v>0.98</v>
      </c>
      <c r="T58" s="80">
        <f t="shared" si="50"/>
        <v>0.98</v>
      </c>
      <c r="U58" s="36" t="s">
        <v>1</v>
      </c>
      <c r="V58" s="17">
        <v>0.02</v>
      </c>
      <c r="W58" s="37">
        <f>+V58*Q58</f>
        <v>1.66E-2</v>
      </c>
      <c r="X58" s="32">
        <f>+V58*R58</f>
        <v>1.66E-2</v>
      </c>
      <c r="Y58" s="32">
        <f>+V58*S58</f>
        <v>1.9599999999999999E-2</v>
      </c>
      <c r="Z58" s="38">
        <f>+V58*T58</f>
        <v>1.9599999999999999E-2</v>
      </c>
      <c r="AA58" s="131"/>
    </row>
    <row r="59" spans="1:27" ht="45.75" customHeight="1">
      <c r="A59" s="131"/>
      <c r="B59" s="21" t="s">
        <v>94</v>
      </c>
      <c r="C59" s="55" t="s">
        <v>91</v>
      </c>
      <c r="D59" s="22" t="s">
        <v>184</v>
      </c>
      <c r="E59" s="26" t="s">
        <v>182</v>
      </c>
      <c r="F59" s="31" t="s">
        <v>101</v>
      </c>
      <c r="G59" s="27" t="s">
        <v>183</v>
      </c>
      <c r="H59" s="16">
        <v>1</v>
      </c>
      <c r="I59" s="15">
        <v>1</v>
      </c>
      <c r="J59" s="46">
        <v>1</v>
      </c>
      <c r="K59" s="46">
        <v>1</v>
      </c>
      <c r="L59" s="46">
        <v>1</v>
      </c>
      <c r="M59" s="46">
        <v>1</v>
      </c>
      <c r="N59" s="46">
        <v>1</v>
      </c>
      <c r="O59" s="46">
        <v>1</v>
      </c>
      <c r="P59" s="45">
        <v>1</v>
      </c>
      <c r="Q59" s="81">
        <f>+'[15]Auditorias adicionales'!$B$13</f>
        <v>1</v>
      </c>
      <c r="R59" s="82">
        <f t="shared" si="48"/>
        <v>1</v>
      </c>
      <c r="S59" s="79">
        <f t="shared" si="49"/>
        <v>1</v>
      </c>
      <c r="T59" s="80">
        <f t="shared" si="50"/>
        <v>1</v>
      </c>
      <c r="U59" s="36" t="s">
        <v>1</v>
      </c>
      <c r="V59" s="17">
        <v>0.02</v>
      </c>
      <c r="W59" s="37">
        <f>+V59*Q59</f>
        <v>0.02</v>
      </c>
      <c r="X59" s="32">
        <f>+V59*R59</f>
        <v>0.02</v>
      </c>
      <c r="Y59" s="32">
        <f>+V59*S59</f>
        <v>0.02</v>
      </c>
      <c r="Z59" s="38">
        <f>+V59*T59</f>
        <v>0.02</v>
      </c>
      <c r="AA59" s="131"/>
    </row>
    <row r="60" spans="1:27" ht="45.75" customHeight="1">
      <c r="A60" s="140"/>
      <c r="B60" s="21" t="s">
        <v>94</v>
      </c>
      <c r="C60" s="55" t="s">
        <v>92</v>
      </c>
      <c r="D60" s="22" t="s">
        <v>186</v>
      </c>
      <c r="E60" s="26" t="s">
        <v>182</v>
      </c>
      <c r="F60" s="31" t="s">
        <v>101</v>
      </c>
      <c r="G60" s="27" t="s">
        <v>183</v>
      </c>
      <c r="H60" s="16">
        <v>1</v>
      </c>
      <c r="I60" s="15">
        <v>1</v>
      </c>
      <c r="J60" s="46">
        <v>1</v>
      </c>
      <c r="K60" s="46">
        <v>1</v>
      </c>
      <c r="L60" s="46">
        <v>1</v>
      </c>
      <c r="M60" s="46">
        <v>0</v>
      </c>
      <c r="N60" s="46">
        <v>0</v>
      </c>
      <c r="O60" s="46">
        <v>0.98</v>
      </c>
      <c r="P60" s="45">
        <v>0.98</v>
      </c>
      <c r="Q60" s="81">
        <f>+'[15]Cierre auditorias'!$B$13</f>
        <v>0.04</v>
      </c>
      <c r="R60" s="82">
        <f>+Q60</f>
        <v>0.04</v>
      </c>
      <c r="S60" s="79">
        <v>0.45</v>
      </c>
      <c r="T60" s="80">
        <v>0.8</v>
      </c>
      <c r="U60" s="36" t="s">
        <v>1</v>
      </c>
      <c r="V60" s="17">
        <v>0.02</v>
      </c>
      <c r="W60" s="37">
        <f>+V60*Q60</f>
        <v>8.0000000000000004E-4</v>
      </c>
      <c r="X60" s="32">
        <f>+V60*R60</f>
        <v>8.0000000000000004E-4</v>
      </c>
      <c r="Y60" s="32">
        <f>+V60*S60</f>
        <v>9.0000000000000011E-3</v>
      </c>
      <c r="Z60" s="38">
        <f>+V60*T60</f>
        <v>1.6E-2</v>
      </c>
      <c r="AA60" s="131"/>
    </row>
    <row r="61" spans="1:27" ht="28.9" customHeight="1">
      <c r="A61" s="140">
        <v>14</v>
      </c>
      <c r="B61" s="143" t="s">
        <v>129</v>
      </c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 t="e">
        <f>IF(IF($U61="Maxim.",M61/I61,IF($U61="Minim.",I61/M61,))&gt;=110%,110%,IF(IF($U61="Maxim.",M61/I61,IF($U61="Minim.",I61/M61,))&lt;0%,0%,IF($U61="Maxim.",M61/I61,IF($U61="Minim.",I61/M61,))))</f>
        <v>#DIV/0!</v>
      </c>
      <c r="R61" s="144" t="e">
        <f>IF(IF($U61="Maxim.",N61/J61,IF($U61="Minim.",J61/N61,))&gt;=110%,110%,IF(IF($U61="Maxim.",N61/J61,IF($U61="Minim.",J61/N61,))&lt;0%,0%,IF($U61="Maxim.",N61/J61,IF($U61="Minim.",J61/N61,))))</f>
        <v>#DIV/0!</v>
      </c>
      <c r="S61" s="144" t="e">
        <f>IF(IF($U61="Maxim.",O61/K61,IF($U61="Minim.",K61/O61,))&gt;=110%,110%,IF(IF($U61="Maxim.",O61/K61,IF($U61="Minim.",K61/O61,))&lt;=0%,0%,IF($U61="Maxim.",O61/K61,IF($U61="Minim.",K61/O61,))))</f>
        <v>#DIV/0!</v>
      </c>
      <c r="T61" s="145" t="e">
        <f>IF(IF($U61="Maxim.",P61/L61,IF($U61="Minim.",L61/P61,))&gt;=110%,110%,IF(IF($U61="Maxim.",P61/L61,IF($U61="Minim.",L61/P61,))&lt;=0%,0%,IF($U61="Maxim.",P61/L61,IF($U61="Minim.",L61/P61,))))</f>
        <v>#DIV/0!</v>
      </c>
      <c r="U61" s="40" t="s">
        <v>1</v>
      </c>
      <c r="V61" s="41">
        <f>SUM(V58:V60)</f>
        <v>0.06</v>
      </c>
      <c r="W61" s="41">
        <f t="shared" ref="W61:Z61" si="55">SUM(W58:W60)</f>
        <v>3.7400000000000003E-2</v>
      </c>
      <c r="X61" s="41">
        <f t="shared" si="55"/>
        <v>3.7400000000000003E-2</v>
      </c>
      <c r="Y61" s="41">
        <f t="shared" si="55"/>
        <v>4.8599999999999997E-2</v>
      </c>
      <c r="Z61" s="41">
        <f t="shared" si="55"/>
        <v>5.5599999999999997E-2</v>
      </c>
    </row>
    <row r="62" spans="1:27" ht="48.75" customHeight="1">
      <c r="A62" s="131"/>
      <c r="B62" s="47" t="s">
        <v>96</v>
      </c>
      <c r="C62" s="23" t="s">
        <v>95</v>
      </c>
      <c r="D62" s="25" t="s">
        <v>187</v>
      </c>
      <c r="E62" s="54" t="s">
        <v>143</v>
      </c>
      <c r="F62" s="31" t="s">
        <v>101</v>
      </c>
      <c r="G62" s="31" t="s">
        <v>109</v>
      </c>
      <c r="H62" s="16">
        <v>1</v>
      </c>
      <c r="I62" s="15">
        <v>1</v>
      </c>
      <c r="J62" s="46">
        <v>1</v>
      </c>
      <c r="K62" s="46">
        <v>1</v>
      </c>
      <c r="L62" s="46">
        <v>1</v>
      </c>
      <c r="M62" s="46">
        <v>1</v>
      </c>
      <c r="N62" s="46">
        <v>1</v>
      </c>
      <c r="O62" s="46">
        <v>1</v>
      </c>
      <c r="P62" s="45">
        <v>1</v>
      </c>
      <c r="Q62" s="81">
        <f t="shared" ref="Q62:Q64" si="56">IF(IF($U62="Maxim.",M62/I62,IF($U62="Minim.",I62/M62,))&gt;=110%,110%,IF(IF($U62="Maxim.",M62/I62,IF($U62="Minim.",I62/M62,))&lt;0%,0%,IF($U62="Maxim.",M62/I62,IF($U62="Minim.",I62/M62,))))</f>
        <v>1</v>
      </c>
      <c r="R62" s="82">
        <f t="shared" ref="R62:R64" si="57">IF(IF($U62="Maxim.",N62/J62,IF($U62="Minim.",J62/N62,))&gt;=110%,110%,IF(IF($U62="Maxim.",N62/J62,IF($U62="Minim.",J62/N62,))&lt;0%,0%,IF($U62="Maxim.",N62/J62,IF($U62="Minim.",J62/N62,))))</f>
        <v>1</v>
      </c>
      <c r="S62" s="79">
        <f t="shared" ref="S62:S64" si="58">IF(IF($U62="Maxim.",O62/K62,IF($U62="Minim.",K62/O62,))&gt;=110%,110%,IF(IF($U62="Maxim.",O62/K62,IF($U62="Minim.",K62/O62,))&lt;=0%,0%,IF($U62="Maxim.",O62/K62,IF($U62="Minim.",K62/O62,))))</f>
        <v>1</v>
      </c>
      <c r="T62" s="80">
        <f t="shared" ref="T62:T64" si="59">IF(IF($U62="Maxim.",P62/L62,IF($U62="Minim.",L62/P62,))&gt;=110%,110%,IF(IF($U62="Maxim.",P62/L62,IF($U62="Minim.",L62/P62,))&lt;=0%,0%,IF($U62="Maxim.",P62/L62,IF($U62="Minim.",L62/P62,))))</f>
        <v>1</v>
      </c>
      <c r="U62" s="36" t="s">
        <v>1</v>
      </c>
      <c r="V62" s="45">
        <v>0.03</v>
      </c>
      <c r="W62" s="37">
        <f>+V62*Q62</f>
        <v>0.03</v>
      </c>
      <c r="X62" s="32">
        <f>+V62*R62</f>
        <v>0.03</v>
      </c>
      <c r="Y62" s="32">
        <f>+V62*S62</f>
        <v>0.03</v>
      </c>
      <c r="Z62" s="38">
        <f>+V62*T62</f>
        <v>0.03</v>
      </c>
      <c r="AA62" s="131"/>
    </row>
    <row r="63" spans="1:27" ht="28.9" customHeight="1">
      <c r="A63" s="140">
        <v>15</v>
      </c>
      <c r="B63" s="143" t="s">
        <v>130</v>
      </c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 t="e">
        <f>IF(IF($U63="Maxim.",M63/I63,IF($U63="Minim.",I63/M63,))&gt;=110%,110%,IF(IF($U63="Maxim.",M63/I63,IF($U63="Minim.",I63/M63,))&lt;0%,0%,IF($U63="Maxim.",M63/I63,IF($U63="Minim.",I63/M63,))))</f>
        <v>#DIV/0!</v>
      </c>
      <c r="R63" s="144" t="e">
        <f>IF(IF($U63="Maxim.",N63/J63,IF($U63="Minim.",J63/N63,))&gt;=110%,110%,IF(IF($U63="Maxim.",N63/J63,IF($U63="Minim.",J63/N63,))&lt;0%,0%,IF($U63="Maxim.",N63/J63,IF($U63="Minim.",J63/N63,))))</f>
        <v>#DIV/0!</v>
      </c>
      <c r="S63" s="144" t="e">
        <f>IF(IF($U63="Maxim.",O63/K63,IF($U63="Minim.",K63/O63,))&gt;=110%,110%,IF(IF($U63="Maxim.",O63/K63,IF($U63="Minim.",K63/O63,))&lt;=0%,0%,IF($U63="Maxim.",O63/K63,IF($U63="Minim.",K63/O63,))))</f>
        <v>#DIV/0!</v>
      </c>
      <c r="T63" s="145" t="e">
        <f>IF(IF($U63="Maxim.",P63/L63,IF($U63="Minim.",L63/P63,))&gt;=110%,110%,IF(IF($U63="Maxim.",P63/L63,IF($U63="Minim.",L63/P63,))&lt;=0%,0%,IF($U63="Maxim.",P63/L63,IF($U63="Minim.",L63/P63,))))</f>
        <v>#DIV/0!</v>
      </c>
      <c r="U63" s="40" t="s">
        <v>1</v>
      </c>
      <c r="V63" s="41">
        <f>SUM(V62:V62)</f>
        <v>0.03</v>
      </c>
      <c r="W63" s="41">
        <f>SUM(W62:W62)</f>
        <v>0.03</v>
      </c>
      <c r="X63" s="41">
        <f>SUM(X62:X62)</f>
        <v>0.03</v>
      </c>
      <c r="Y63" s="41">
        <f>SUM(Y62:Y62)</f>
        <v>0.03</v>
      </c>
      <c r="Z63" s="41">
        <f>SUM(Z62:Z62)</f>
        <v>0.03</v>
      </c>
    </row>
    <row r="64" spans="1:27" ht="62.25" customHeight="1">
      <c r="A64" s="131"/>
      <c r="B64" s="47" t="s">
        <v>97</v>
      </c>
      <c r="C64" s="23" t="s">
        <v>98</v>
      </c>
      <c r="D64" s="22" t="s">
        <v>188</v>
      </c>
      <c r="E64" s="54" t="s">
        <v>143</v>
      </c>
      <c r="F64" s="31" t="s">
        <v>101</v>
      </c>
      <c r="G64" s="31" t="s">
        <v>106</v>
      </c>
      <c r="H64" s="16">
        <v>0.9</v>
      </c>
      <c r="I64" s="46">
        <v>0.9</v>
      </c>
      <c r="J64" s="46">
        <v>0.9</v>
      </c>
      <c r="K64" s="46">
        <v>0.9</v>
      </c>
      <c r="L64" s="46">
        <v>0.9</v>
      </c>
      <c r="M64" s="45">
        <v>1</v>
      </c>
      <c r="N64" s="45">
        <v>1</v>
      </c>
      <c r="O64" s="45">
        <v>1</v>
      </c>
      <c r="P64" s="45">
        <v>1</v>
      </c>
      <c r="Q64" s="81">
        <f t="shared" si="56"/>
        <v>1.1000000000000001</v>
      </c>
      <c r="R64" s="82">
        <f t="shared" si="57"/>
        <v>1.1000000000000001</v>
      </c>
      <c r="S64" s="79">
        <f t="shared" si="58"/>
        <v>1.1000000000000001</v>
      </c>
      <c r="T64" s="80">
        <f t="shared" si="59"/>
        <v>1.1000000000000001</v>
      </c>
      <c r="U64" s="36" t="s">
        <v>1</v>
      </c>
      <c r="V64" s="17">
        <v>0.06</v>
      </c>
      <c r="W64" s="37">
        <f t="shared" ref="W64" si="60">+V64*Q64</f>
        <v>6.6000000000000003E-2</v>
      </c>
      <c r="X64" s="32">
        <f t="shared" ref="X64" si="61">+V64*R64</f>
        <v>6.6000000000000003E-2</v>
      </c>
      <c r="Y64" s="32">
        <f t="shared" ref="Y64" si="62">+V64*S64</f>
        <v>6.6000000000000003E-2</v>
      </c>
      <c r="Z64" s="38">
        <f t="shared" ref="Z64" si="63">+V64*T64</f>
        <v>6.6000000000000003E-2</v>
      </c>
      <c r="AA64" s="131"/>
    </row>
    <row r="65" spans="1:27" ht="48" hidden="1" customHeight="1">
      <c r="A65" s="140"/>
      <c r="B65" s="47"/>
      <c r="C65" s="55"/>
      <c r="D65" s="25"/>
      <c r="E65" s="54"/>
      <c r="F65" s="31"/>
      <c r="G65" s="31"/>
      <c r="H65" s="16"/>
      <c r="I65" s="45"/>
      <c r="J65" s="45"/>
      <c r="K65" s="45"/>
      <c r="L65" s="45"/>
      <c r="M65" s="45"/>
      <c r="N65" s="45"/>
      <c r="O65" s="45"/>
      <c r="P65" s="45"/>
      <c r="Q65" s="81"/>
      <c r="R65" s="82"/>
      <c r="S65" s="79"/>
      <c r="T65" s="80"/>
      <c r="U65" s="36"/>
      <c r="V65" s="17"/>
      <c r="W65" s="37"/>
      <c r="X65" s="32"/>
      <c r="Y65" s="32"/>
      <c r="Z65" s="38"/>
    </row>
    <row r="66" spans="1:27" ht="48.75" hidden="1" customHeight="1">
      <c r="A66" s="140"/>
      <c r="B66" s="47"/>
      <c r="C66" s="55"/>
      <c r="D66" s="25"/>
      <c r="E66" s="54"/>
      <c r="F66" s="31"/>
      <c r="G66" s="31"/>
      <c r="H66" s="16"/>
      <c r="I66" s="45"/>
      <c r="J66" s="45"/>
      <c r="K66" s="45"/>
      <c r="L66" s="45"/>
      <c r="M66" s="45"/>
      <c r="N66" s="45"/>
      <c r="O66" s="45"/>
      <c r="P66" s="45"/>
      <c r="Q66" s="81"/>
      <c r="R66" s="82"/>
      <c r="S66" s="79"/>
      <c r="T66" s="80"/>
      <c r="U66" s="36"/>
      <c r="V66" s="17"/>
      <c r="W66" s="37"/>
      <c r="X66" s="32"/>
      <c r="Y66" s="32"/>
      <c r="Z66" s="38"/>
    </row>
    <row r="67" spans="1:27" ht="52.15" hidden="1" customHeight="1">
      <c r="A67" s="140"/>
      <c r="B67" s="47"/>
      <c r="C67" s="55"/>
      <c r="D67" s="22"/>
      <c r="E67" s="54"/>
      <c r="F67" s="31"/>
      <c r="G67" s="31"/>
      <c r="H67" s="16"/>
      <c r="I67" s="45"/>
      <c r="J67" s="45"/>
      <c r="K67" s="45"/>
      <c r="L67" s="45"/>
      <c r="M67" s="45"/>
      <c r="N67" s="45"/>
      <c r="O67" s="45"/>
      <c r="P67" s="45"/>
      <c r="Q67" s="81"/>
      <c r="R67" s="82"/>
      <c r="S67" s="79"/>
      <c r="T67" s="80"/>
      <c r="U67" s="36"/>
      <c r="V67" s="17"/>
      <c r="W67" s="37"/>
      <c r="X67" s="32"/>
      <c r="Y67" s="32"/>
      <c r="Z67" s="38"/>
    </row>
    <row r="68" spans="1:27" ht="64.900000000000006" hidden="1" customHeight="1">
      <c r="A68" s="140"/>
      <c r="B68" s="47"/>
      <c r="C68" s="55"/>
      <c r="D68" s="25"/>
      <c r="E68" s="54"/>
      <c r="F68" s="31"/>
      <c r="G68" s="31"/>
      <c r="H68" s="16"/>
      <c r="I68" s="45"/>
      <c r="J68" s="45"/>
      <c r="K68" s="45"/>
      <c r="L68" s="45"/>
      <c r="M68" s="45"/>
      <c r="N68" s="45"/>
      <c r="O68" s="45"/>
      <c r="P68" s="45"/>
      <c r="Q68" s="81"/>
      <c r="R68" s="82"/>
      <c r="S68" s="79"/>
      <c r="T68" s="80"/>
      <c r="U68" s="36"/>
      <c r="V68" s="17"/>
      <c r="W68" s="37"/>
      <c r="X68" s="32"/>
      <c r="Y68" s="32"/>
      <c r="Z68" s="38"/>
    </row>
    <row r="69" spans="1:27" ht="46.9" hidden="1" customHeight="1">
      <c r="A69" s="140"/>
      <c r="B69" s="47"/>
      <c r="C69" s="101"/>
      <c r="D69" s="25"/>
      <c r="E69" s="54"/>
      <c r="F69" s="31"/>
      <c r="G69" s="31"/>
      <c r="H69" s="16"/>
      <c r="I69" s="45"/>
      <c r="J69" s="45"/>
      <c r="K69" s="45"/>
      <c r="L69" s="45"/>
      <c r="M69" s="45"/>
      <c r="N69" s="45"/>
      <c r="O69" s="45"/>
      <c r="P69" s="45"/>
      <c r="Q69" s="81"/>
      <c r="R69" s="82"/>
      <c r="S69" s="79"/>
      <c r="T69" s="80"/>
      <c r="U69" s="36"/>
      <c r="V69" s="17"/>
      <c r="W69" s="37"/>
      <c r="X69" s="32"/>
      <c r="Y69" s="32"/>
      <c r="Z69" s="38"/>
    </row>
    <row r="70" spans="1:27" ht="28.9" customHeight="1">
      <c r="A70" s="140">
        <v>16</v>
      </c>
      <c r="B70" s="143" t="s">
        <v>131</v>
      </c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>
        <f>IF(IF($U70="Maxim.",M70/I70,IF($U70="Minim.",I70/M70,))&gt;=110%,110%,IF(IF($U70="Maxim.",M70/I70,IF($U70="Minim.",I70/M70,))&lt;0%,0%,IF($U70="Maxim.",M70/I70,IF($U70="Minim.",I70/M70,))))</f>
        <v>0</v>
      </c>
      <c r="R70" s="144">
        <f>IF(IF($U70="Maxim.",N70/J70,IF($U70="Minim.",J70/N70,))&gt;=110%,110%,IF(IF($U70="Maxim.",N70/J70,IF($U70="Minim.",J70/N70,))&lt;0%,0%,IF($U70="Maxim.",N70/J70,IF($U70="Minim.",J70/N70,))))</f>
        <v>0</v>
      </c>
      <c r="S70" s="144">
        <f>IF(IF($U70="Maxim.",O70/K70,IF($U70="Minim.",K70/O70,))&gt;=110%,110%,IF(IF($U70="Maxim.",O70/K70,IF($U70="Minim.",K70/O70,))&lt;=0%,0%,IF($U70="Maxim.",O70/K70,IF($U70="Minim.",K70/O70,))))</f>
        <v>0</v>
      </c>
      <c r="T70" s="145">
        <f>IF(IF($U70="Maxim.",P70/L70,IF($U70="Minim.",L70/P70,))&gt;=110%,110%,IF(IF($U70="Maxim.",P70/L70,IF($U70="Minim.",L70/P70,))&lt;=0%,0%,IF($U70="Maxim.",P70/L70,IF($U70="Minim.",L70/P70,))))</f>
        <v>0</v>
      </c>
      <c r="U70" s="40"/>
      <c r="V70" s="41">
        <v>0.06</v>
      </c>
      <c r="W70" s="41">
        <f t="shared" ref="W70:Z70" si="64">SUM(W64:W69)</f>
        <v>6.6000000000000003E-2</v>
      </c>
      <c r="X70" s="41">
        <f t="shared" si="64"/>
        <v>6.6000000000000003E-2</v>
      </c>
      <c r="Y70" s="41">
        <f t="shared" si="64"/>
        <v>6.6000000000000003E-2</v>
      </c>
      <c r="Z70" s="41">
        <f t="shared" si="64"/>
        <v>6.6000000000000003E-2</v>
      </c>
    </row>
    <row r="71" spans="1:27" ht="50.25" customHeight="1">
      <c r="A71" s="140"/>
      <c r="B71" s="47" t="s">
        <v>99</v>
      </c>
      <c r="C71" s="55" t="str">
        <f>+'[16]Gestion SSST'!$B$5</f>
        <v xml:space="preserve">Proporción de accidentes de trabajo mortales </v>
      </c>
      <c r="D71" s="25" t="str">
        <f>+'[16]Gestion SSST'!$C$5</f>
        <v>(# de accidentes de trabajo mortales que se presentaron en el año/ Total de accidentes de trabajo que se presentaron en el año)*100</v>
      </c>
      <c r="E71" s="54" t="s">
        <v>143</v>
      </c>
      <c r="F71" s="31" t="s">
        <v>101</v>
      </c>
      <c r="G71" s="31" t="s">
        <v>106</v>
      </c>
      <c r="H71" s="16">
        <v>0</v>
      </c>
      <c r="I71" s="46">
        <v>0</v>
      </c>
      <c r="J71" s="46">
        <v>0</v>
      </c>
      <c r="K71" s="46">
        <v>0</v>
      </c>
      <c r="L71" s="46">
        <v>0</v>
      </c>
      <c r="M71" s="45">
        <f>+'[16]Gestion SSST'!$H$5</f>
        <v>0</v>
      </c>
      <c r="N71" s="45">
        <v>0</v>
      </c>
      <c r="O71" s="45">
        <v>0</v>
      </c>
      <c r="P71" s="45">
        <v>0</v>
      </c>
      <c r="Q71" s="81">
        <v>1</v>
      </c>
      <c r="R71" s="82">
        <v>1</v>
      </c>
      <c r="S71" s="82">
        <v>1</v>
      </c>
      <c r="T71" s="80">
        <v>1</v>
      </c>
      <c r="U71" s="36" t="s">
        <v>1</v>
      </c>
      <c r="V71" s="17">
        <v>0.02</v>
      </c>
      <c r="W71" s="37">
        <f>+V71*Q71</f>
        <v>0.02</v>
      </c>
      <c r="X71" s="32">
        <f>+V71*R71</f>
        <v>0.02</v>
      </c>
      <c r="Y71" s="32">
        <f>+V71*S71</f>
        <v>0.02</v>
      </c>
      <c r="Z71" s="38">
        <f>+V71*T71</f>
        <v>0.02</v>
      </c>
      <c r="AA71" s="131"/>
    </row>
    <row r="72" spans="1:27" ht="65.25" customHeight="1">
      <c r="A72" s="140"/>
      <c r="B72" s="47" t="s">
        <v>99</v>
      </c>
      <c r="C72" s="55" t="str">
        <f>+'[16]Gestion SSST'!$B$6</f>
        <v>Prevalencia de la enfermedad laboral</v>
      </c>
      <c r="D72" s="25" t="str">
        <f>+'[16]Gestion SSST'!$C$6</f>
        <v>(#  de casos nuevos y antiguos de enfermedad laboral en el periodo "Z" / Promedio de trabajadores en el periodo "Z")*100</v>
      </c>
      <c r="E72" s="54" t="s">
        <v>143</v>
      </c>
      <c r="F72" s="31" t="s">
        <v>203</v>
      </c>
      <c r="G72" s="31" t="s">
        <v>106</v>
      </c>
      <c r="H72" s="142">
        <v>1</v>
      </c>
      <c r="I72" s="135">
        <v>1</v>
      </c>
      <c r="J72" s="135">
        <v>1</v>
      </c>
      <c r="K72" s="46">
        <v>1</v>
      </c>
      <c r="L72" s="46">
        <v>1</v>
      </c>
      <c r="M72" s="45">
        <v>0</v>
      </c>
      <c r="N72" s="45">
        <v>0</v>
      </c>
      <c r="O72" s="45">
        <v>0</v>
      </c>
      <c r="P72" s="45">
        <v>0</v>
      </c>
      <c r="Q72" s="81">
        <v>1</v>
      </c>
      <c r="R72" s="82">
        <v>1</v>
      </c>
      <c r="S72" s="79">
        <f t="shared" ref="S71:S73" si="65">IF(IF($U72="Maxim.",O72/K72,IF($U72="Minim.",K72/O72,))&gt;=110%,110%,IF(IF($U72="Maxim.",O72/K72,IF($U72="Minim.",K72/O72,))&lt;=0%,0%,IF($U72="Maxim.",O72/K72,IF($U72="Minim.",K72/O72,))))</f>
        <v>0</v>
      </c>
      <c r="T72" s="80">
        <f t="shared" ref="T72:T73" si="66">IF(IF($U72="Maxim.",P72/L72,IF($U72="Minim.",L72/P72,))&gt;=110%,110%,IF(IF($U72="Maxim.",P72/L72,IF($U72="Minim.",L72/P72,))&lt;=0%,0%,IF($U72="Maxim.",P72/L72,IF($U72="Minim.",L72/P72,))))</f>
        <v>0</v>
      </c>
      <c r="U72" s="36" t="s">
        <v>1</v>
      </c>
      <c r="V72" s="17">
        <v>0.02</v>
      </c>
      <c r="W72" s="37">
        <f>+V72*Q72</f>
        <v>0.02</v>
      </c>
      <c r="X72" s="32">
        <f>+V72*R72</f>
        <v>0.02</v>
      </c>
      <c r="Y72" s="32">
        <f>+V72*S72</f>
        <v>0</v>
      </c>
      <c r="Z72" s="38">
        <f>+V72*T72</f>
        <v>0</v>
      </c>
      <c r="AA72" s="131"/>
    </row>
    <row r="73" spans="1:27" ht="54.75" customHeight="1">
      <c r="A73" s="140"/>
      <c r="B73" s="47" t="s">
        <v>99</v>
      </c>
      <c r="C73" s="122" t="str">
        <f>+'[16]Gestion SSST'!$B$7</f>
        <v>Incidencia de la enfermedad laboral</v>
      </c>
      <c r="D73" s="25" t="str">
        <f>+'[16]Gestion SSST'!$C$7</f>
        <v>(# de casos nuevos de enfermedad laboral en el periodo "Z"/  Promedio de trabajadores en el periodo "Z")*100</v>
      </c>
      <c r="E73" s="54" t="s">
        <v>143</v>
      </c>
      <c r="F73" s="31" t="s">
        <v>101</v>
      </c>
      <c r="G73" s="31" t="s">
        <v>205</v>
      </c>
      <c r="H73" s="142">
        <v>0</v>
      </c>
      <c r="I73" s="142">
        <v>0</v>
      </c>
      <c r="J73" s="142">
        <v>0</v>
      </c>
      <c r="K73" s="46">
        <v>1</v>
      </c>
      <c r="L73" s="46">
        <v>1</v>
      </c>
      <c r="M73" s="45">
        <v>1</v>
      </c>
      <c r="N73" s="45">
        <v>1</v>
      </c>
      <c r="O73" s="45">
        <v>1</v>
      </c>
      <c r="P73" s="45">
        <v>1</v>
      </c>
      <c r="Q73" s="81">
        <v>1</v>
      </c>
      <c r="R73" s="82">
        <v>1</v>
      </c>
      <c r="S73" s="79">
        <f t="shared" si="65"/>
        <v>1</v>
      </c>
      <c r="T73" s="80">
        <f t="shared" si="66"/>
        <v>1</v>
      </c>
      <c r="U73" s="36" t="s">
        <v>2</v>
      </c>
      <c r="V73" s="17">
        <v>1.4999999999999999E-2</v>
      </c>
      <c r="W73" s="37">
        <f>+V73*Q73</f>
        <v>1.4999999999999999E-2</v>
      </c>
      <c r="X73" s="32">
        <f>+V73*R73</f>
        <v>1.4999999999999999E-2</v>
      </c>
      <c r="Y73" s="32">
        <f>+V73*S73</f>
        <v>1.4999999999999999E-2</v>
      </c>
      <c r="Z73" s="38">
        <f>+V73*T73</f>
        <v>1.4999999999999999E-2</v>
      </c>
      <c r="AA73" s="131"/>
    </row>
    <row r="74" spans="1:27" ht="54.75" customHeight="1">
      <c r="A74" s="140"/>
      <c r="B74" s="47" t="s">
        <v>99</v>
      </c>
      <c r="C74" s="55" t="str">
        <f>+'[16]Gestion SSST'!$B$8</f>
        <v xml:space="preserve">Ausentismo por causa médica </v>
      </c>
      <c r="D74" s="25" t="str">
        <f>+'[16]Gestion SSST'!$C$8</f>
        <v>(# de días de ausencia por incapacidad laboral o común en el mes / # de días de trabajo programados en el mes )*100</v>
      </c>
      <c r="E74" s="54" t="s">
        <v>143</v>
      </c>
      <c r="F74" s="31" t="s">
        <v>204</v>
      </c>
      <c r="G74" s="31" t="s">
        <v>206</v>
      </c>
      <c r="H74" s="16">
        <v>0.1</v>
      </c>
      <c r="I74" s="15">
        <v>0.1</v>
      </c>
      <c r="J74" s="46">
        <v>0.1</v>
      </c>
      <c r="K74" s="46">
        <v>6.0000000000000001E-3</v>
      </c>
      <c r="L74" s="46">
        <v>0.01</v>
      </c>
      <c r="M74" s="45">
        <v>0</v>
      </c>
      <c r="N74" s="45">
        <v>4.7E-2</v>
      </c>
      <c r="O74" s="45">
        <v>1E-3</v>
      </c>
      <c r="P74" s="45">
        <v>1E-3</v>
      </c>
      <c r="Q74" s="81">
        <v>1.1000000000000001</v>
      </c>
      <c r="R74" s="82">
        <f t="shared" ref="R74" si="67">IF(IF($U74="Maxim.",N74/J74,IF($U74="Minim.",J74/N74,))&gt;=110%,110%,IF(IF($U74="Maxim.",N74/J74,IF($U74="Minim.",J74/N74,))&lt;0%,0%,IF($U74="Maxim.",N74/J74,IF($U74="Minim.",J74/N74,))))</f>
        <v>1.1000000000000001</v>
      </c>
      <c r="S74" s="82">
        <f t="shared" ref="S74:T74" si="68">IF(IF($U74="Maxim.",O74/K74,IF($U74="Minim.",K74/O74,))&gt;=110%,110%,IF(IF($U74="Maxim.",O74/K74,IF($U74="Minim.",K74/O74,))&lt;0%,0%,IF($U74="Maxim.",O74/K74,IF($U74="Minim.",K74/O74,))))</f>
        <v>1.1000000000000001</v>
      </c>
      <c r="T74" s="82">
        <f t="shared" si="68"/>
        <v>1.1000000000000001</v>
      </c>
      <c r="U74" s="36" t="s">
        <v>2</v>
      </c>
      <c r="V74" s="17">
        <v>1.4999999999999999E-2</v>
      </c>
      <c r="W74" s="37">
        <f>+V74*Q74</f>
        <v>1.6500000000000001E-2</v>
      </c>
      <c r="X74" s="32">
        <f>+V74*R74</f>
        <v>1.6500000000000001E-2</v>
      </c>
      <c r="Y74" s="32">
        <f>+V74*S74</f>
        <v>1.6500000000000001E-2</v>
      </c>
      <c r="Z74" s="38">
        <f>+V74*T74</f>
        <v>1.6500000000000001E-2</v>
      </c>
      <c r="AA74" s="131"/>
    </row>
    <row r="75" spans="1:27" ht="28.9" customHeight="1">
      <c r="A75" s="140">
        <v>17</v>
      </c>
      <c r="B75" s="143" t="s">
        <v>133</v>
      </c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>
        <f>IF(IF($U75="Maxim.",M75/I75,IF($U75="Minim.",I75/M75,))&gt;=110%,110%,IF(IF($U75="Maxim.",M75/I75,IF($U75="Minim.",I75/M75,))&lt;0%,0%,IF($U75="Maxim.",M75/I75,IF($U75="Minim.",I75/M75,))))</f>
        <v>0</v>
      </c>
      <c r="R75" s="144">
        <f>IF(IF($U75="Maxim.",N75/J75,IF($U75="Minim.",J75/N75,))&gt;=110%,110%,IF(IF($U75="Maxim.",N75/J75,IF($U75="Minim.",J75/N75,))&lt;0%,0%,IF($U75="Maxim.",N75/J75,IF($U75="Minim.",J75/N75,))))</f>
        <v>0</v>
      </c>
      <c r="S75" s="144">
        <f>IF(IF($U75="Maxim.",O75/K75,IF($U75="Minim.",K75/O75,))&gt;=110%,110%,IF(IF($U75="Maxim.",O75/K75,IF($U75="Minim.",K75/O75,))&lt;=0%,0%,IF($U75="Maxim.",O75/K75,IF($U75="Minim.",K75/O75,))))</f>
        <v>0</v>
      </c>
      <c r="T75" s="145">
        <f>IF(IF($U75="Maxim.",P75/L75,IF($U75="Minim.",L75/P75,))&gt;=110%,110%,IF(IF($U75="Maxim.",P75/L75,IF($U75="Minim.",L75/P75,))&lt;=0%,0%,IF($U75="Maxim.",P75/L75,IF($U75="Minim.",L75/P75,))))</f>
        <v>0</v>
      </c>
      <c r="U75" s="40"/>
      <c r="V75" s="41">
        <f>SUM(V71:V74)</f>
        <v>7.0000000000000007E-2</v>
      </c>
      <c r="W75" s="41">
        <f t="shared" ref="W75:Z75" si="69">SUM(W71:W74)</f>
        <v>7.1500000000000008E-2</v>
      </c>
      <c r="X75" s="41">
        <f t="shared" si="69"/>
        <v>7.1500000000000008E-2</v>
      </c>
      <c r="Y75" s="41">
        <f t="shared" si="69"/>
        <v>5.1500000000000004E-2</v>
      </c>
      <c r="Z75" s="41">
        <f t="shared" si="69"/>
        <v>5.1500000000000004E-2</v>
      </c>
    </row>
    <row r="76" spans="1:27" ht="34.9" customHeight="1">
      <c r="B76" s="143" t="s">
        <v>147</v>
      </c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5"/>
      <c r="U76" s="40"/>
      <c r="V76" s="41">
        <f>+V11+V14+V20+V22+V26+V30+V34+V38+V42+V47+V50+V54+V57+V61+V63+V70+V75</f>
        <v>1.0000000000000004</v>
      </c>
      <c r="W76" s="41">
        <f>+W11+W14+W20+W22+W26+W30+W34+W38+W42+W47+W50+W54+W57+W61+W63+W70+W75</f>
        <v>0.88014230553637851</v>
      </c>
      <c r="X76" s="41">
        <f>+X11+X14+X20+X22+X26+X30+X34+X38+X42+X47+X50+X54+X57+X61+X63+X70+X75</f>
        <v>0.85628600038870106</v>
      </c>
      <c r="Y76" s="41">
        <f>+Y11+Y14+Y20+Y22+Y26+Y30+Y34+Y38+Y42+Y47+Y50+Y54+Y57+Y61+Y63+Y70+Y75</f>
        <v>0.90545217128157029</v>
      </c>
      <c r="Z76" s="41">
        <f>+Z11+Z14+Z20+Z22+Z26+Z30+Z34+Z38+Z42+Z47+Z50+Z54+Z57+Z61+Z63+Z70+Z75</f>
        <v>0.9042747318037071</v>
      </c>
    </row>
    <row r="78" spans="1:27" ht="18" hidden="1" customHeight="1">
      <c r="B78" s="76"/>
      <c r="C78" s="171" t="s">
        <v>14</v>
      </c>
      <c r="D78" s="178"/>
      <c r="E78" s="48"/>
      <c r="F78" s="4"/>
      <c r="G78" s="4"/>
      <c r="H78" s="4"/>
      <c r="I78" s="4"/>
      <c r="J78" s="4"/>
      <c r="K78" s="4"/>
      <c r="L78" s="4"/>
      <c r="M78" s="4"/>
      <c r="N78" s="9"/>
      <c r="O78" s="9"/>
      <c r="P78" s="10"/>
      <c r="Q78" s="10"/>
      <c r="R78" s="10"/>
      <c r="S78" s="10"/>
      <c r="T78" s="10"/>
      <c r="U78" s="10"/>
      <c r="V78" s="11"/>
      <c r="AA78" s="12"/>
    </row>
    <row r="79" spans="1:27" ht="15" hidden="1" customHeight="1">
      <c r="B79" s="6"/>
      <c r="C79" s="171" t="s">
        <v>16</v>
      </c>
      <c r="D79" s="178"/>
      <c r="E79" s="48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7" ht="15" hidden="1" customHeight="1">
      <c r="B80" s="7"/>
      <c r="C80" s="74" t="s">
        <v>24</v>
      </c>
      <c r="D80" s="75"/>
      <c r="E80" s="48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2:5" ht="15" hidden="1" customHeight="1">
      <c r="B81" s="77"/>
      <c r="C81" s="171" t="s">
        <v>13</v>
      </c>
      <c r="D81" s="178"/>
      <c r="E81" s="48"/>
    </row>
    <row r="82" spans="2:5">
      <c r="B82" s="1"/>
      <c r="C82" s="5"/>
    </row>
  </sheetData>
  <mergeCells count="40">
    <mergeCell ref="B47:T47"/>
    <mergeCell ref="B7:B8"/>
    <mergeCell ref="C7:C8"/>
    <mergeCell ref="D7:D8"/>
    <mergeCell ref="B61:T61"/>
    <mergeCell ref="E7:E8"/>
    <mergeCell ref="F7:F8"/>
    <mergeCell ref="G7:G8"/>
    <mergeCell ref="B38:T38"/>
    <mergeCell ref="B42:T42"/>
    <mergeCell ref="B63:T63"/>
    <mergeCell ref="B70:T70"/>
    <mergeCell ref="B50:T50"/>
    <mergeCell ref="B54:T54"/>
    <mergeCell ref="B57:T57"/>
    <mergeCell ref="C81:D81"/>
    <mergeCell ref="B76:T76"/>
    <mergeCell ref="C78:D78"/>
    <mergeCell ref="C79:D79"/>
    <mergeCell ref="B1:C1"/>
    <mergeCell ref="D1:Z1"/>
    <mergeCell ref="B5:N5"/>
    <mergeCell ref="O5:Z5"/>
    <mergeCell ref="B6:C6"/>
    <mergeCell ref="D6:H6"/>
    <mergeCell ref="I6:Z6"/>
    <mergeCell ref="B75:T75"/>
    <mergeCell ref="W7:Z7"/>
    <mergeCell ref="B11:T11"/>
    <mergeCell ref="B14:T14"/>
    <mergeCell ref="B20:T20"/>
    <mergeCell ref="U7:U8"/>
    <mergeCell ref="B22:T22"/>
    <mergeCell ref="B26:T26"/>
    <mergeCell ref="B30:T30"/>
    <mergeCell ref="B34:T34"/>
    <mergeCell ref="H7:H8"/>
    <mergeCell ref="I7:L7"/>
    <mergeCell ref="M7:P7"/>
    <mergeCell ref="R7:T7"/>
  </mergeCells>
  <conditionalFormatting sqref="Q43:T46 Q39:T41">
    <cfRule type="cellIs" dxfId="38" priority="1301" operator="greaterThan">
      <formula>0.8</formula>
    </cfRule>
    <cfRule type="cellIs" dxfId="37" priority="1302" operator="between">
      <formula>0.7</formula>
      <formula>0.8</formula>
    </cfRule>
    <cfRule type="cellIs" dxfId="36" priority="1303" operator="lessThan">
      <formula>0.7</formula>
    </cfRule>
  </conditionalFormatting>
  <conditionalFormatting sqref="Q43:T46 Q39:T41">
    <cfRule type="cellIs" dxfId="35" priority="1293" operator="lessThan">
      <formula>0.8</formula>
    </cfRule>
    <cfRule type="cellIs" dxfId="34" priority="1294" operator="between">
      <formula>0.8</formula>
      <formula>0.9</formula>
    </cfRule>
    <cfRule type="cellIs" dxfId="33" priority="1295" operator="greaterThan">
      <formula>0.9</formula>
    </cfRule>
    <cfRule type="cellIs" dxfId="32" priority="1298" operator="greaterThan">
      <formula>0.8</formula>
    </cfRule>
    <cfRule type="cellIs" dxfId="31" priority="1299" operator="between">
      <formula>0.7</formula>
      <formula>0.8</formula>
    </cfRule>
    <cfRule type="cellIs" dxfId="30" priority="1300" operator="lessThan">
      <formula>0.7</formula>
    </cfRule>
  </conditionalFormatting>
  <conditionalFormatting sqref="Q43:T46 Q39:T41">
    <cfRule type="cellIs" dxfId="29" priority="1297" operator="greaterThan">
      <formula>0.9</formula>
    </cfRule>
  </conditionalFormatting>
  <conditionalFormatting sqref="Q43:T46 Q39:T41">
    <cfRule type="cellIs" dxfId="28" priority="1296" operator="between">
      <formula>0.8</formula>
      <formula>0.9</formula>
    </cfRule>
  </conditionalFormatting>
  <conditionalFormatting sqref="Q43:T46 Q39:T41">
    <cfRule type="cellIs" dxfId="27" priority="1292" operator="lessThan">
      <formula>0.8</formula>
    </cfRule>
  </conditionalFormatting>
  <conditionalFormatting sqref="Q43:T46 Q39:T41">
    <cfRule type="cellIs" dxfId="26" priority="1285" operator="equal">
      <formula>0</formula>
    </cfRule>
    <cfRule type="containsBlanks" dxfId="25" priority="1286">
      <formula>LEN(TRIM(Q39))=0</formula>
    </cfRule>
    <cfRule type="containsBlanks" dxfId="24" priority="1287">
      <formula>LEN(TRIM(Q39))=0</formula>
    </cfRule>
    <cfRule type="cellIs" dxfId="23" priority="1288" operator="lessThan">
      <formula>0.8</formula>
    </cfRule>
    <cfRule type="cellIs" dxfId="22" priority="1289" operator="between">
      <formula>0.8</formula>
      <formula>0.9</formula>
    </cfRule>
    <cfRule type="cellIs" dxfId="21" priority="1290" operator="greaterThan">
      <formula>0.9</formula>
    </cfRule>
    <cfRule type="cellIs" dxfId="20" priority="1291" operator="lessThan">
      <formula>0.8</formula>
    </cfRule>
  </conditionalFormatting>
  <conditionalFormatting sqref="Q43:T46 Q39:T41">
    <cfRule type="cellIs" dxfId="19" priority="1281" operator="between">
      <formula>1.01</formula>
      <formula>1.1</formula>
    </cfRule>
    <cfRule type="cellIs" dxfId="18" priority="1282" operator="between">
      <formula>0.91</formula>
      <formula>1</formula>
    </cfRule>
    <cfRule type="cellIs" dxfId="17" priority="1283" operator="between">
      <formula>0.8</formula>
      <formula>0.9</formula>
    </cfRule>
    <cfRule type="cellIs" dxfId="16" priority="1284" operator="between">
      <formula>0</formula>
      <formula>0.79</formula>
    </cfRule>
  </conditionalFormatting>
  <conditionalFormatting sqref="Q64:T69 Q48:T49 Q55:T56 Q62:T62 Q51:T53 Q21:T21 Q23:T25 Q27:T29 Q31:T33 Q35:T37 Q12:T13 Q58:T60 Q9:T10 Q15:T19 Q71:T74">
    <cfRule type="cellIs" dxfId="15" priority="400" stopIfTrue="1" operator="lessThan">
      <formula>0.8</formula>
    </cfRule>
    <cfRule type="cellIs" dxfId="14" priority="401" operator="between">
      <formula>0.81</formula>
      <formula>0.94</formula>
    </cfRule>
    <cfRule type="cellIs" dxfId="13" priority="402" operator="between">
      <formula>0.95</formula>
      <formula>1</formula>
    </cfRule>
    <cfRule type="cellIs" dxfId="12" priority="403" operator="greaterThan">
      <formula>1</formula>
    </cfRule>
  </conditionalFormatting>
  <dataValidations count="1">
    <dataValidation type="list" allowBlank="1" showInputMessage="1" showErrorMessage="1" sqref="U15:U19 U39:U46 U12:U13 U9:U10 U21:U37 U48:U74">
      <formula1>$U$2:$U$4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BSC I</vt:lpstr>
      <vt:lpstr>BSC II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caalarcon</cp:lastModifiedBy>
  <cp:lastPrinted>2019-02-12T20:59:11Z</cp:lastPrinted>
  <dcterms:created xsi:type="dcterms:W3CDTF">2012-09-27T01:16:44Z</dcterms:created>
  <dcterms:modified xsi:type="dcterms:W3CDTF">2022-09-19T20:26:56Z</dcterms:modified>
</cp:coreProperties>
</file>